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0. 30 เม.ย. 66\"/>
    </mc:Choice>
  </mc:AlternateContent>
  <xr:revisionPtr revIDLastSave="0" documentId="13_ncr:1_{758FD5D4-16DB-4152-B5D0-70290C2BF745}" xr6:coauthVersionLast="37" xr6:coauthVersionMax="37" xr10:uidLastSave="{00000000-0000-0000-0000-000000000000}"/>
  <bookViews>
    <workbookView xWindow="0" yWindow="0" windowWidth="24000" windowHeight="9225" tabRatio="804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Area" localSheetId="1">กาฬสินธุ์!$A$1:$P$828</definedName>
    <definedName name="_xlnm.Print_Area" localSheetId="2">ขอนแก่น!$A$1:$P$828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2">เลย!$A$1:$P$828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828" i="21" l="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P815" i="21"/>
  <c r="N815" i="21"/>
  <c r="M815" i="21"/>
  <c r="L815" i="21"/>
  <c r="O815" i="21" s="1"/>
  <c r="P810" i="21"/>
  <c r="O810" i="21"/>
  <c r="N810" i="21"/>
  <c r="P809" i="21"/>
  <c r="O809" i="21"/>
  <c r="P808" i="21"/>
  <c r="N808" i="21"/>
  <c r="M808" i="21"/>
  <c r="L808" i="21"/>
  <c r="O808" i="21" s="1"/>
  <c r="O807" i="21"/>
  <c r="N807" i="21"/>
  <c r="M807" i="21"/>
  <c r="L807" i="21"/>
  <c r="P806" i="21"/>
  <c r="N806" i="21"/>
  <c r="N805" i="21" s="1"/>
  <c r="M806" i="21"/>
  <c r="L806" i="21"/>
  <c r="K804" i="21"/>
  <c r="J804" i="21"/>
  <c r="J803" i="21"/>
  <c r="I803" i="21"/>
  <c r="K803" i="21" s="1"/>
  <c r="J802" i="21"/>
  <c r="J801" i="21"/>
  <c r="I801" i="21"/>
  <c r="J800" i="21"/>
  <c r="P798" i="21"/>
  <c r="O798" i="21"/>
  <c r="P797" i="21"/>
  <c r="O797" i="21"/>
  <c r="P796" i="21"/>
  <c r="N796" i="21"/>
  <c r="M796" i="21"/>
  <c r="L796" i="21"/>
  <c r="O796" i="21" s="1"/>
  <c r="N795" i="21"/>
  <c r="N791" i="21"/>
  <c r="N789" i="21" s="1"/>
  <c r="L791" i="21"/>
  <c r="P790" i="21"/>
  <c r="O790" i="21"/>
  <c r="N788" i="21"/>
  <c r="O787" i="21"/>
  <c r="N787" i="21"/>
  <c r="N786" i="21" s="1"/>
  <c r="M787" i="21"/>
  <c r="P787" i="21" s="1"/>
  <c r="L787" i="21"/>
  <c r="P782" i="21"/>
  <c r="O782" i="21"/>
  <c r="P781" i="21"/>
  <c r="O781" i="21"/>
  <c r="P780" i="21"/>
  <c r="N780" i="21"/>
  <c r="M780" i="21"/>
  <c r="L780" i="21"/>
  <c r="O780" i="21" s="1"/>
  <c r="P775" i="21"/>
  <c r="O775" i="21"/>
  <c r="N775" i="21"/>
  <c r="N772" i="21" s="1"/>
  <c r="P774" i="21"/>
  <c r="O774" i="21"/>
  <c r="P773" i="21"/>
  <c r="N773" i="21"/>
  <c r="M773" i="21"/>
  <c r="L773" i="21"/>
  <c r="O773" i="21" s="1"/>
  <c r="O772" i="21"/>
  <c r="M772" i="21"/>
  <c r="L772" i="21"/>
  <c r="P771" i="21"/>
  <c r="N771" i="21"/>
  <c r="M771" i="21"/>
  <c r="L771" i="21"/>
  <c r="K769" i="21"/>
  <c r="J769" i="21"/>
  <c r="P766" i="21"/>
  <c r="O766" i="21"/>
  <c r="P765" i="21"/>
  <c r="O765" i="21"/>
  <c r="P764" i="21"/>
  <c r="N764" i="21"/>
  <c r="M764" i="21"/>
  <c r="L764" i="21"/>
  <c r="O764" i="21" s="1"/>
  <c r="P759" i="21"/>
  <c r="O759" i="21"/>
  <c r="N759" i="21"/>
  <c r="N756" i="21" s="1"/>
  <c r="P758" i="21"/>
  <c r="O758" i="21"/>
  <c r="P757" i="21"/>
  <c r="N757" i="21"/>
  <c r="M757" i="21"/>
  <c r="L757" i="21"/>
  <c r="O757" i="21" s="1"/>
  <c r="O756" i="21"/>
  <c r="M756" i="21"/>
  <c r="L756" i="21"/>
  <c r="P755" i="21"/>
  <c r="N755" i="21"/>
  <c r="M755" i="21"/>
  <c r="L755" i="21"/>
  <c r="K753" i="21"/>
  <c r="J753" i="21"/>
  <c r="P749" i="21"/>
  <c r="O749" i="21"/>
  <c r="P748" i="21"/>
  <c r="O748" i="21"/>
  <c r="P747" i="21"/>
  <c r="N747" i="21"/>
  <c r="M747" i="21"/>
  <c r="L747" i="21"/>
  <c r="O747" i="21" s="1"/>
  <c r="P742" i="21"/>
  <c r="O742" i="21"/>
  <c r="N742" i="21"/>
  <c r="N739" i="21" s="1"/>
  <c r="P741" i="21"/>
  <c r="O741" i="21"/>
  <c r="P740" i="21"/>
  <c r="N740" i="21"/>
  <c r="M740" i="21"/>
  <c r="L740" i="21"/>
  <c r="O740" i="21" s="1"/>
  <c r="O739" i="21"/>
  <c r="M739" i="21"/>
  <c r="L739" i="21"/>
  <c r="P738" i="21"/>
  <c r="N738" i="21"/>
  <c r="N737" i="21" s="1"/>
  <c r="M738" i="21"/>
  <c r="L738" i="2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P697" i="21"/>
  <c r="O697" i="21"/>
  <c r="P696" i="21"/>
  <c r="O696" i="21"/>
  <c r="P695" i="21"/>
  <c r="N695" i="21"/>
  <c r="M695" i="21"/>
  <c r="L695" i="21"/>
  <c r="O695" i="21" s="1"/>
  <c r="N690" i="21"/>
  <c r="N687" i="21" s="1"/>
  <c r="L690" i="21"/>
  <c r="L687" i="21" s="1"/>
  <c r="N688" i="21"/>
  <c r="P686" i="21"/>
  <c r="N686" i="21"/>
  <c r="M686" i="21"/>
  <c r="L686" i="21"/>
  <c r="J679" i="21"/>
  <c r="J678" i="21" s="1"/>
  <c r="I678" i="21"/>
  <c r="K678" i="21" s="1"/>
  <c r="J675" i="21"/>
  <c r="I671" i="21"/>
  <c r="K671" i="21" s="1"/>
  <c r="I670" i="21"/>
  <c r="K670" i="21" s="1"/>
  <c r="J669" i="21"/>
  <c r="I669" i="21"/>
  <c r="K673" i="21" s="1"/>
  <c r="P667" i="21"/>
  <c r="O667" i="21"/>
  <c r="P666" i="21"/>
  <c r="O666" i="21"/>
  <c r="P665" i="21"/>
  <c r="N665" i="21"/>
  <c r="M665" i="21"/>
  <c r="L665" i="21"/>
  <c r="O665" i="21" s="1"/>
  <c r="N664" i="21"/>
  <c r="N660" i="21"/>
  <c r="N658" i="21" s="1"/>
  <c r="L660" i="21"/>
  <c r="P659" i="21"/>
  <c r="O659" i="21"/>
  <c r="N657" i="21"/>
  <c r="O656" i="21"/>
  <c r="N656" i="21"/>
  <c r="N655" i="21" s="1"/>
  <c r="M656" i="21"/>
  <c r="P656" i="21" s="1"/>
  <c r="L656" i="21"/>
  <c r="J654" i="2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L639" i="21"/>
  <c r="O639" i="21" s="1"/>
  <c r="N638" i="21"/>
  <c r="N634" i="21"/>
  <c r="L634" i="21"/>
  <c r="O634" i="21" s="1"/>
  <c r="P633" i="21"/>
  <c r="O633" i="21"/>
  <c r="N632" i="21"/>
  <c r="N631" i="21"/>
  <c r="O630" i="21"/>
  <c r="N630" i="21"/>
  <c r="M630" i="21"/>
  <c r="L630" i="21"/>
  <c r="N629" i="21"/>
  <c r="J621" i="21"/>
  <c r="I621" i="21"/>
  <c r="K621" i="21" s="1"/>
  <c r="J620" i="21"/>
  <c r="I620" i="21"/>
  <c r="K613" i="21"/>
  <c r="J613" i="21"/>
  <c r="K612" i="21"/>
  <c r="J612" i="21"/>
  <c r="K611" i="21"/>
  <c r="J611" i="21"/>
  <c r="J604" i="21"/>
  <c r="J603" i="21"/>
  <c r="J596" i="21"/>
  <c r="J594" i="21" s="1"/>
  <c r="J595" i="21"/>
  <c r="J593" i="21" s="1"/>
  <c r="J592" i="21" s="1"/>
  <c r="I594" i="21"/>
  <c r="K594" i="21" s="1"/>
  <c r="I593" i="21"/>
  <c r="K593" i="21" s="1"/>
  <c r="J583" i="21"/>
  <c r="J582" i="21"/>
  <c r="J576" i="21" s="1"/>
  <c r="J559" i="21" s="1"/>
  <c r="J543" i="21" s="1"/>
  <c r="J577" i="21"/>
  <c r="I577" i="21"/>
  <c r="I576" i="21"/>
  <c r="I559" i="21" s="1"/>
  <c r="J569" i="21"/>
  <c r="I569" i="21"/>
  <c r="J568" i="21"/>
  <c r="I568" i="21"/>
  <c r="K568" i="21" s="1"/>
  <c r="J561" i="21"/>
  <c r="I561" i="21"/>
  <c r="J560" i="21"/>
  <c r="I560" i="21"/>
  <c r="K560" i="21" s="1"/>
  <c r="P557" i="21"/>
  <c r="L557" i="21"/>
  <c r="O557" i="21" s="1"/>
  <c r="P556" i="21"/>
  <c r="O556" i="21"/>
  <c r="N555" i="21"/>
  <c r="M555" i="21"/>
  <c r="M545" i="21" s="1"/>
  <c r="N553" i="21"/>
  <c r="N549" i="21" s="1"/>
  <c r="L549" i="21"/>
  <c r="M549" i="21" s="1"/>
  <c r="P548" i="21"/>
  <c r="O548" i="21"/>
  <c r="N545" i="21"/>
  <c r="L545" i="21"/>
  <c r="I542" i="21"/>
  <c r="K542" i="21" s="1"/>
  <c r="I541" i="21"/>
  <c r="K541" i="21" s="1"/>
  <c r="I540" i="21"/>
  <c r="K540" i="21" s="1"/>
  <c r="I539" i="21"/>
  <c r="I538" i="21"/>
  <c r="K538" i="21" s="1"/>
  <c r="I537" i="21"/>
  <c r="I522" i="21" s="1"/>
  <c r="K522" i="21" s="1"/>
  <c r="P535" i="21"/>
  <c r="L535" i="21"/>
  <c r="O535" i="21" s="1"/>
  <c r="P534" i="21"/>
  <c r="O534" i="21"/>
  <c r="N533" i="21"/>
  <c r="M533" i="21"/>
  <c r="P533" i="21" s="1"/>
  <c r="P528" i="21"/>
  <c r="N528" i="21"/>
  <c r="L528" i="21"/>
  <c r="O528" i="21" s="1"/>
  <c r="P527" i="21"/>
  <c r="O527" i="21"/>
  <c r="P526" i="21"/>
  <c r="M526" i="21"/>
  <c r="M525" i="21"/>
  <c r="P524" i="21"/>
  <c r="N524" i="21"/>
  <c r="M524" i="21"/>
  <c r="L524" i="21"/>
  <c r="K517" i="21"/>
  <c r="J517" i="21"/>
  <c r="J501" i="21" s="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P506" i="21"/>
  <c r="O506" i="21"/>
  <c r="P505" i="21"/>
  <c r="N505" i="21"/>
  <c r="M505" i="21"/>
  <c r="L505" i="21"/>
  <c r="O505" i="21" s="1"/>
  <c r="O504" i="21"/>
  <c r="N504" i="21"/>
  <c r="M504" i="21"/>
  <c r="P504" i="21" s="1"/>
  <c r="L504" i="21"/>
  <c r="P503" i="21"/>
  <c r="N503" i="21"/>
  <c r="N502" i="21" s="1"/>
  <c r="M503" i="21"/>
  <c r="M502" i="21" s="1"/>
  <c r="P502" i="21" s="1"/>
  <c r="L503" i="21"/>
  <c r="O503" i="21" s="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P478" i="21"/>
  <c r="O478" i="21"/>
  <c r="N477" i="21"/>
  <c r="M477" i="21"/>
  <c r="P477" i="21" s="1"/>
  <c r="N476" i="21"/>
  <c r="N472" i="21" s="1"/>
  <c r="N469" i="21" s="1"/>
  <c r="L472" i="21"/>
  <c r="O472" i="21" s="1"/>
  <c r="P471" i="21"/>
  <c r="O471" i="21"/>
  <c r="N470" i="21"/>
  <c r="P468" i="21"/>
  <c r="N468" i="21"/>
  <c r="M468" i="21"/>
  <c r="L468" i="21"/>
  <c r="J466" i="21"/>
  <c r="I466" i="21"/>
  <c r="K466" i="21" s="1"/>
  <c r="J465" i="21"/>
  <c r="I465" i="21"/>
  <c r="I464" i="21"/>
  <c r="K464" i="21" s="1"/>
  <c r="I463" i="21"/>
  <c r="K463" i="21" s="1"/>
  <c r="I462" i="21"/>
  <c r="K462" i="21" s="1"/>
  <c r="I460" i="21"/>
  <c r="K460" i="21" s="1"/>
  <c r="K458" i="21"/>
  <c r="P456" i="21"/>
  <c r="L456" i="21"/>
  <c r="O456" i="21" s="1"/>
  <c r="P455" i="21"/>
  <c r="O455" i="21"/>
  <c r="P454" i="21"/>
  <c r="N454" i="21"/>
  <c r="M454" i="21"/>
  <c r="L454" i="21"/>
  <c r="O454" i="21" s="1"/>
  <c r="N453" i="21"/>
  <c r="N449" i="21"/>
  <c r="N447" i="21" s="1"/>
  <c r="L449" i="21"/>
  <c r="P448" i="21"/>
  <c r="O448" i="21"/>
  <c r="N446" i="21"/>
  <c r="O445" i="21"/>
  <c r="N445" i="21"/>
  <c r="M445" i="21"/>
  <c r="P445" i="21" s="1"/>
  <c r="L445" i="2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K435" i="21" s="1"/>
  <c r="J434" i="21"/>
  <c r="J418" i="21" s="1"/>
  <c r="P431" i="21"/>
  <c r="L431" i="21"/>
  <c r="O431" i="21" s="1"/>
  <c r="P430" i="21"/>
  <c r="O430" i="21"/>
  <c r="P429" i="21"/>
  <c r="N429" i="21"/>
  <c r="M429" i="21"/>
  <c r="L429" i="21"/>
  <c r="O429" i="21" s="1"/>
  <c r="N428" i="21"/>
  <c r="N424" i="21"/>
  <c r="N422" i="21" s="1"/>
  <c r="L424" i="21"/>
  <c r="M424" i="21" s="1"/>
  <c r="P423" i="21"/>
  <c r="O423" i="21"/>
  <c r="N421" i="21"/>
  <c r="N419" i="21" s="1"/>
  <c r="O420" i="21"/>
  <c r="N420" i="21"/>
  <c r="M420" i="21"/>
  <c r="L420" i="21"/>
  <c r="K413" i="21"/>
  <c r="K412" i="21"/>
  <c r="N410" i="21"/>
  <c r="N408" i="21" s="1"/>
  <c r="M410" i="21"/>
  <c r="M408" i="21" s="1"/>
  <c r="P408" i="21" s="1"/>
  <c r="L410" i="21"/>
  <c r="L408" i="21" s="1"/>
  <c r="O408" i="21" s="1"/>
  <c r="P409" i="21"/>
  <c r="O409" i="21"/>
  <c r="N407" i="21"/>
  <c r="M407" i="21"/>
  <c r="P407" i="21" s="1"/>
  <c r="L407" i="21"/>
  <c r="L405" i="21" s="1"/>
  <c r="O405" i="21" s="1"/>
  <c r="P406" i="21"/>
  <c r="O406" i="21"/>
  <c r="O403" i="21"/>
  <c r="N403" i="21"/>
  <c r="M403" i="21"/>
  <c r="P403" i="21" s="1"/>
  <c r="L403" i="21"/>
  <c r="K401" i="21"/>
  <c r="J401" i="21"/>
  <c r="I401" i="21"/>
  <c r="K400" i="21"/>
  <c r="K399" i="21"/>
  <c r="N397" i="21"/>
  <c r="N395" i="21" s="1"/>
  <c r="M397" i="21"/>
  <c r="P397" i="21" s="1"/>
  <c r="L397" i="21"/>
  <c r="O397" i="21" s="1"/>
  <c r="P396" i="21"/>
  <c r="O396" i="21"/>
  <c r="N394" i="21"/>
  <c r="N392" i="21" s="1"/>
  <c r="M394" i="21"/>
  <c r="L394" i="21"/>
  <c r="O394" i="21" s="1"/>
  <c r="P393" i="21"/>
  <c r="O393" i="21"/>
  <c r="O390" i="21"/>
  <c r="N390" i="21"/>
  <c r="M390" i="21"/>
  <c r="L390" i="21"/>
  <c r="J388" i="21"/>
  <c r="I388" i="21"/>
  <c r="K388" i="21" s="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L353" i="21"/>
  <c r="P352" i="21"/>
  <c r="O352" i="21"/>
  <c r="N350" i="21"/>
  <c r="M350" i="21"/>
  <c r="M348" i="21" s="1"/>
  <c r="L350" i="21"/>
  <c r="P349" i="21"/>
  <c r="O349" i="21"/>
  <c r="P346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O336" i="21" s="1"/>
  <c r="P335" i="21"/>
  <c r="O335" i="21"/>
  <c r="N333" i="21"/>
  <c r="M333" i="21"/>
  <c r="M331" i="21" s="1"/>
  <c r="L333" i="21"/>
  <c r="P332" i="21"/>
  <c r="O332" i="21"/>
  <c r="P329" i="21"/>
  <c r="O329" i="21"/>
  <c r="N329" i="21"/>
  <c r="M329" i="21"/>
  <c r="L329" i="21"/>
  <c r="I327" i="21"/>
  <c r="I325" i="21"/>
  <c r="K325" i="21" s="1"/>
  <c r="N323" i="21"/>
  <c r="M323" i="21"/>
  <c r="L323" i="21"/>
  <c r="O323" i="21" s="1"/>
  <c r="P322" i="21"/>
  <c r="O322" i="21"/>
  <c r="N320" i="21"/>
  <c r="N318" i="21" s="1"/>
  <c r="M320" i="21"/>
  <c r="L320" i="21"/>
  <c r="O320" i="21" s="1"/>
  <c r="P319" i="21"/>
  <c r="O319" i="21"/>
  <c r="N316" i="21"/>
  <c r="M316" i="21"/>
  <c r="L316" i="21"/>
  <c r="O316" i="21" s="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M304" i="21" s="1"/>
  <c r="P304" i="21" s="1"/>
  <c r="L306" i="21"/>
  <c r="L304" i="21" s="1"/>
  <c r="O304" i="21" s="1"/>
  <c r="P305" i="21"/>
  <c r="O305" i="21"/>
  <c r="N303" i="21"/>
  <c r="N301" i="21" s="1"/>
  <c r="M303" i="21"/>
  <c r="L303" i="21"/>
  <c r="L301" i="21" s="1"/>
  <c r="P302" i="21"/>
  <c r="O302" i="21"/>
  <c r="O299" i="21"/>
  <c r="N299" i="21"/>
  <c r="M299" i="21"/>
  <c r="P299" i="21" s="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I275" i="21" s="1"/>
  <c r="I287" i="21"/>
  <c r="K287" i="21" s="1"/>
  <c r="N285" i="21"/>
  <c r="N283" i="21" s="1"/>
  <c r="M285" i="21"/>
  <c r="M283" i="21" s="1"/>
  <c r="P283" i="21" s="1"/>
  <c r="L285" i="21"/>
  <c r="O285" i="21" s="1"/>
  <c r="P284" i="21"/>
  <c r="O284" i="21"/>
  <c r="N282" i="21"/>
  <c r="M282" i="21"/>
  <c r="M280" i="21" s="1"/>
  <c r="L282" i="21"/>
  <c r="P281" i="21"/>
  <c r="O281" i="21"/>
  <c r="N278" i="21"/>
  <c r="M278" i="21"/>
  <c r="L278" i="21"/>
  <c r="O278" i="21" s="1"/>
  <c r="J276" i="21"/>
  <c r="I271" i="21"/>
  <c r="K271" i="21" s="1"/>
  <c r="N269" i="21"/>
  <c r="N267" i="21" s="1"/>
  <c r="M269" i="21"/>
  <c r="M267" i="21" s="1"/>
  <c r="P267" i="21" s="1"/>
  <c r="L269" i="21"/>
  <c r="L267" i="21" s="1"/>
  <c r="O267" i="21" s="1"/>
  <c r="P268" i="21"/>
  <c r="O268" i="21"/>
  <c r="N266" i="21"/>
  <c r="N264" i="21" s="1"/>
  <c r="M266" i="21"/>
  <c r="M264" i="21" s="1"/>
  <c r="L266" i="21"/>
  <c r="L264" i="21" s="1"/>
  <c r="P265" i="21"/>
  <c r="O265" i="21"/>
  <c r="O262" i="21"/>
  <c r="N262" i="21"/>
  <c r="M262" i="21"/>
  <c r="P262" i="21" s="1"/>
  <c r="L262" i="21"/>
  <c r="J260" i="21"/>
  <c r="K258" i="21"/>
  <c r="K257" i="21"/>
  <c r="I255" i="21"/>
  <c r="L253" i="21"/>
  <c r="L252" i="21"/>
  <c r="L251" i="21"/>
  <c r="L250" i="21"/>
  <c r="P249" i="21"/>
  <c r="N249" i="21"/>
  <c r="J248" i="21"/>
  <c r="K247" i="21"/>
  <c r="K246" i="21"/>
  <c r="I244" i="21"/>
  <c r="L242" i="21"/>
  <c r="L241" i="21"/>
  <c r="L240" i="21"/>
  <c r="L239" i="21"/>
  <c r="P238" i="21"/>
  <c r="N238" i="21"/>
  <c r="N227" i="21" s="1"/>
  <c r="J237" i="21"/>
  <c r="J226" i="21" s="1"/>
  <c r="K236" i="21"/>
  <c r="J236" i="21"/>
  <c r="I236" i="21"/>
  <c r="K235" i="21"/>
  <c r="J235" i="21"/>
  <c r="I235" i="21"/>
  <c r="J233" i="21"/>
  <c r="N231" i="21"/>
  <c r="N230" i="21"/>
  <c r="N229" i="21"/>
  <c r="N228" i="2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5" i="21"/>
  <c r="I208" i="21" s="1"/>
  <c r="K208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I197" i="21" s="1"/>
  <c r="K197" i="21" s="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P189" i="21" s="1"/>
  <c r="L189" i="21"/>
  <c r="P188" i="21"/>
  <c r="O188" i="21"/>
  <c r="N186" i="21"/>
  <c r="M186" i="21"/>
  <c r="L186" i="21"/>
  <c r="L184" i="21" s="1"/>
  <c r="P185" i="21"/>
  <c r="O185" i="21"/>
  <c r="N182" i="21"/>
  <c r="M182" i="21"/>
  <c r="L182" i="21"/>
  <c r="O182" i="21" s="1"/>
  <c r="J180" i="21"/>
  <c r="J177" i="21"/>
  <c r="I176" i="21"/>
  <c r="K176" i="21" s="1"/>
  <c r="J174" i="21"/>
  <c r="J164" i="21" s="1"/>
  <c r="N173" i="21"/>
  <c r="N171" i="21" s="1"/>
  <c r="M173" i="21"/>
  <c r="P173" i="21" s="1"/>
  <c r="L173" i="21"/>
  <c r="O173" i="21" s="1"/>
  <c r="P172" i="21"/>
  <c r="O172" i="21"/>
  <c r="N170" i="21"/>
  <c r="M170" i="21"/>
  <c r="M168" i="21" s="1"/>
  <c r="L170" i="21"/>
  <c r="L168" i="21" s="1"/>
  <c r="P169" i="21"/>
  <c r="O169" i="21"/>
  <c r="N166" i="21"/>
  <c r="M166" i="21"/>
  <c r="L166" i="21"/>
  <c r="I159" i="21"/>
  <c r="K159" i="21" s="1"/>
  <c r="N157" i="21"/>
  <c r="N155" i="21" s="1"/>
  <c r="M157" i="21"/>
  <c r="P157" i="21" s="1"/>
  <c r="L157" i="21"/>
  <c r="L155" i="21" s="1"/>
  <c r="O155" i="21" s="1"/>
  <c r="P156" i="21"/>
  <c r="O156" i="21"/>
  <c r="N154" i="21"/>
  <c r="N152" i="21" s="1"/>
  <c r="M154" i="21"/>
  <c r="L154" i="21"/>
  <c r="L152" i="21" s="1"/>
  <c r="O152" i="21" s="1"/>
  <c r="P153" i="21"/>
  <c r="O153" i="21"/>
  <c r="O150" i="21"/>
  <c r="N150" i="21"/>
  <c r="M150" i="21"/>
  <c r="P150" i="21" s="1"/>
  <c r="L150" i="21"/>
  <c r="J148" i="21"/>
  <c r="I146" i="21"/>
  <c r="I130" i="21" s="1"/>
  <c r="K130" i="21" s="1"/>
  <c r="I145" i="21"/>
  <c r="I144" i="21"/>
  <c r="K144" i="21" s="1"/>
  <c r="N140" i="21"/>
  <c r="M140" i="21"/>
  <c r="P140" i="21" s="1"/>
  <c r="L140" i="21"/>
  <c r="O140" i="21" s="1"/>
  <c r="P139" i="21"/>
  <c r="O139" i="21"/>
  <c r="N137" i="21"/>
  <c r="N135" i="21" s="1"/>
  <c r="M137" i="21"/>
  <c r="M135" i="21" s="1"/>
  <c r="P135" i="21" s="1"/>
  <c r="L137" i="21"/>
  <c r="O137" i="21" s="1"/>
  <c r="P136" i="21"/>
  <c r="O136" i="21"/>
  <c r="P133" i="21"/>
  <c r="O133" i="21"/>
  <c r="N133" i="21"/>
  <c r="M133" i="21"/>
  <c r="L133" i="21"/>
  <c r="J130" i="21"/>
  <c r="N127" i="21"/>
  <c r="N125" i="21" s="1"/>
  <c r="M127" i="21"/>
  <c r="L127" i="21"/>
  <c r="P126" i="21"/>
  <c r="O126" i="21"/>
  <c r="N124" i="21"/>
  <c r="M124" i="21"/>
  <c r="P124" i="21" s="1"/>
  <c r="L124" i="21"/>
  <c r="P123" i="21"/>
  <c r="O123" i="21"/>
  <c r="O120" i="21"/>
  <c r="N120" i="21"/>
  <c r="M120" i="21"/>
  <c r="P120" i="21" s="1"/>
  <c r="L120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I99" i="21"/>
  <c r="J98" i="21"/>
  <c r="J86" i="21" s="1"/>
  <c r="I98" i="21"/>
  <c r="I86" i="21" s="1"/>
  <c r="K86" i="21" s="1"/>
  <c r="N96" i="21"/>
  <c r="N94" i="21" s="1"/>
  <c r="M96" i="21"/>
  <c r="P96" i="21" s="1"/>
  <c r="L96" i="21"/>
  <c r="P95" i="21"/>
  <c r="O95" i="21"/>
  <c r="N93" i="21"/>
  <c r="M93" i="21"/>
  <c r="M91" i="21" s="1"/>
  <c r="L93" i="21"/>
  <c r="L91" i="21" s="1"/>
  <c r="P92" i="21"/>
  <c r="O92" i="21"/>
  <c r="N89" i="21"/>
  <c r="M89" i="21"/>
  <c r="L89" i="21"/>
  <c r="O89" i="21" s="1"/>
  <c r="J87" i="2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K79" i="21" s="1"/>
  <c r="I78" i="21"/>
  <c r="K78" i="21" s="1"/>
  <c r="J77" i="21"/>
  <c r="J65" i="21" s="1"/>
  <c r="J76" i="21"/>
  <c r="N74" i="21"/>
  <c r="M74" i="21"/>
  <c r="P74" i="21" s="1"/>
  <c r="L74" i="21"/>
  <c r="L72" i="21" s="1"/>
  <c r="O72" i="21" s="1"/>
  <c r="P73" i="21"/>
  <c r="O73" i="21"/>
  <c r="N71" i="21"/>
  <c r="N69" i="21" s="1"/>
  <c r="M71" i="21"/>
  <c r="M69" i="21" s="1"/>
  <c r="L71" i="21"/>
  <c r="L69" i="21" s="1"/>
  <c r="P70" i="21"/>
  <c r="O70" i="21"/>
  <c r="O67" i="21"/>
  <c r="N67" i="21"/>
  <c r="M67" i="21"/>
  <c r="P67" i="21" s="1"/>
  <c r="L67" i="21"/>
  <c r="J64" i="21"/>
  <c r="N61" i="21"/>
  <c r="N59" i="21" s="1"/>
  <c r="M61" i="21"/>
  <c r="L61" i="21"/>
  <c r="P60" i="21"/>
  <c r="O60" i="21"/>
  <c r="N58" i="21"/>
  <c r="N56" i="21" s="1"/>
  <c r="M58" i="21"/>
  <c r="L58" i="21"/>
  <c r="P57" i="21"/>
  <c r="O57" i="21"/>
  <c r="P54" i="21"/>
  <c r="N54" i="21"/>
  <c r="M54" i="21"/>
  <c r="L54" i="21"/>
  <c r="N49" i="21"/>
  <c r="N47" i="21" s="1"/>
  <c r="M49" i="21"/>
  <c r="M47" i="21" s="1"/>
  <c r="P47" i="21" s="1"/>
  <c r="L49" i="21"/>
  <c r="L47" i="21" s="1"/>
  <c r="O47" i="21" s="1"/>
  <c r="P48" i="21"/>
  <c r="O48" i="21"/>
  <c r="N46" i="21"/>
  <c r="N44" i="21" s="1"/>
  <c r="M46" i="21"/>
  <c r="L46" i="21"/>
  <c r="L44" i="21" s="1"/>
  <c r="P45" i="21"/>
  <c r="O45" i="21"/>
  <c r="O42" i="21"/>
  <c r="N42" i="21"/>
  <c r="M42" i="21"/>
  <c r="P42" i="21" s="1"/>
  <c r="L42" i="21"/>
  <c r="P36" i="21"/>
  <c r="N36" i="21"/>
  <c r="M36" i="21"/>
  <c r="P35" i="21"/>
  <c r="O35" i="21"/>
  <c r="N35" i="21"/>
  <c r="N34" i="21" s="1"/>
  <c r="M35" i="21"/>
  <c r="M34" i="21" s="1"/>
  <c r="P34" i="21" s="1"/>
  <c r="L35" i="21"/>
  <c r="N33" i="21"/>
  <c r="N30" i="21" s="1"/>
  <c r="N32" i="21"/>
  <c r="M32" i="21"/>
  <c r="L32" i="21"/>
  <c r="O32" i="21" s="1"/>
  <c r="N25" i="21"/>
  <c r="M25" i="21"/>
  <c r="L25" i="21"/>
  <c r="O25" i="21" s="1"/>
  <c r="P22" i="21"/>
  <c r="O22" i="21"/>
  <c r="N22" i="21"/>
  <c r="M22" i="21"/>
  <c r="L22" i="21"/>
  <c r="L19" i="21"/>
  <c r="O19" i="21" s="1"/>
  <c r="M12" i="21"/>
  <c r="L12" i="21"/>
  <c r="O12" i="21" s="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O815" i="20"/>
  <c r="N815" i="20"/>
  <c r="M815" i="20"/>
  <c r="P815" i="20" s="1"/>
  <c r="L815" i="20"/>
  <c r="P810" i="20"/>
  <c r="O810" i="20"/>
  <c r="N810" i="20"/>
  <c r="N807" i="20" s="1"/>
  <c r="P809" i="20"/>
  <c r="O809" i="20"/>
  <c r="O808" i="20"/>
  <c r="M808" i="20"/>
  <c r="P808" i="20" s="1"/>
  <c r="L808" i="20"/>
  <c r="P807" i="20"/>
  <c r="M807" i="20"/>
  <c r="L807" i="20"/>
  <c r="O807" i="20" s="1"/>
  <c r="O806" i="20"/>
  <c r="N806" i="20"/>
  <c r="N805" i="20" s="1"/>
  <c r="M806" i="20"/>
  <c r="P806" i="20" s="1"/>
  <c r="L806" i="20"/>
  <c r="P805" i="20"/>
  <c r="M805" i="20"/>
  <c r="K804" i="20"/>
  <c r="J804" i="20"/>
  <c r="K802" i="20"/>
  <c r="J801" i="20"/>
  <c r="J800" i="20"/>
  <c r="J785" i="20" s="1"/>
  <c r="I800" i="20"/>
  <c r="I785" i="20" s="1"/>
  <c r="K785" i="20" s="1"/>
  <c r="P798" i="20"/>
  <c r="O798" i="20"/>
  <c r="P797" i="20"/>
  <c r="O797" i="20"/>
  <c r="P796" i="20"/>
  <c r="N796" i="20"/>
  <c r="M796" i="20"/>
  <c r="L796" i="20"/>
  <c r="O796" i="20" s="1"/>
  <c r="P791" i="20"/>
  <c r="N791" i="20"/>
  <c r="L791" i="20"/>
  <c r="L789" i="20" s="1"/>
  <c r="O789" i="20" s="1"/>
  <c r="P790" i="20"/>
  <c r="O790" i="20"/>
  <c r="N789" i="20"/>
  <c r="M789" i="20"/>
  <c r="P789" i="20" s="1"/>
  <c r="P788" i="20"/>
  <c r="N788" i="20"/>
  <c r="M788" i="20"/>
  <c r="O787" i="20"/>
  <c r="N787" i="20"/>
  <c r="N786" i="20" s="1"/>
  <c r="M787" i="20"/>
  <c r="P787" i="20" s="1"/>
  <c r="L787" i="20"/>
  <c r="P786" i="20"/>
  <c r="M786" i="20"/>
  <c r="P782" i="20"/>
  <c r="O782" i="20"/>
  <c r="P781" i="20"/>
  <c r="O781" i="20"/>
  <c r="P780" i="20"/>
  <c r="N780" i="20"/>
  <c r="M780" i="20"/>
  <c r="L780" i="20"/>
  <c r="O780" i="20" s="1"/>
  <c r="P775" i="20"/>
  <c r="O775" i="20"/>
  <c r="N775" i="20"/>
  <c r="P774" i="20"/>
  <c r="O774" i="20"/>
  <c r="P773" i="20"/>
  <c r="N773" i="20"/>
  <c r="M773" i="20"/>
  <c r="L773" i="20"/>
  <c r="O773" i="20" s="1"/>
  <c r="O772" i="20"/>
  <c r="N772" i="20"/>
  <c r="M772" i="20"/>
  <c r="P772" i="20" s="1"/>
  <c r="L772" i="20"/>
  <c r="P771" i="20"/>
  <c r="N771" i="20"/>
  <c r="M771" i="20"/>
  <c r="L771" i="20"/>
  <c r="O771" i="20" s="1"/>
  <c r="N770" i="20"/>
  <c r="K769" i="20"/>
  <c r="J769" i="20"/>
  <c r="P766" i="20"/>
  <c r="O766" i="20"/>
  <c r="P765" i="20"/>
  <c r="O765" i="20"/>
  <c r="P764" i="20"/>
  <c r="N764" i="20"/>
  <c r="M764" i="20"/>
  <c r="L764" i="20"/>
  <c r="O764" i="20" s="1"/>
  <c r="P759" i="20"/>
  <c r="O759" i="20"/>
  <c r="N759" i="20"/>
  <c r="P758" i="20"/>
  <c r="O758" i="20"/>
  <c r="P757" i="20"/>
  <c r="N757" i="20"/>
  <c r="M757" i="20"/>
  <c r="L757" i="20"/>
  <c r="O757" i="20" s="1"/>
  <c r="O756" i="20"/>
  <c r="N756" i="20"/>
  <c r="M756" i="20"/>
  <c r="P756" i="20" s="1"/>
  <c r="L756" i="20"/>
  <c r="P755" i="20"/>
  <c r="N755" i="20"/>
  <c r="M755" i="20"/>
  <c r="L755" i="20"/>
  <c r="O755" i="20" s="1"/>
  <c r="N754" i="20"/>
  <c r="K753" i="20"/>
  <c r="J753" i="20"/>
  <c r="P749" i="20"/>
  <c r="O749" i="20"/>
  <c r="P748" i="20"/>
  <c r="O748" i="20"/>
  <c r="P747" i="20"/>
  <c r="N747" i="20"/>
  <c r="M747" i="20"/>
  <c r="L747" i="20"/>
  <c r="O747" i="20" s="1"/>
  <c r="P742" i="20"/>
  <c r="O742" i="20"/>
  <c r="N742" i="20"/>
  <c r="P741" i="20"/>
  <c r="O741" i="20"/>
  <c r="P740" i="20"/>
  <c r="N740" i="20"/>
  <c r="M740" i="20"/>
  <c r="L740" i="20"/>
  <c r="O740" i="20" s="1"/>
  <c r="O739" i="20"/>
  <c r="N739" i="20"/>
  <c r="M739" i="20"/>
  <c r="P739" i="20" s="1"/>
  <c r="L739" i="20"/>
  <c r="P738" i="20"/>
  <c r="N738" i="20"/>
  <c r="M738" i="20"/>
  <c r="L738" i="20"/>
  <c r="O738" i="20" s="1"/>
  <c r="N737" i="20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P697" i="20"/>
  <c r="O697" i="20"/>
  <c r="P696" i="20"/>
  <c r="O696" i="20"/>
  <c r="P695" i="20"/>
  <c r="N695" i="20"/>
  <c r="M695" i="20"/>
  <c r="L695" i="20"/>
  <c r="O695" i="20" s="1"/>
  <c r="N694" i="20"/>
  <c r="N690" i="20"/>
  <c r="N688" i="20" s="1"/>
  <c r="L690" i="20"/>
  <c r="O690" i="20" s="1"/>
  <c r="N687" i="20"/>
  <c r="N685" i="20" s="1"/>
  <c r="O686" i="20"/>
  <c r="N686" i="20"/>
  <c r="M686" i="20"/>
  <c r="P686" i="20" s="1"/>
  <c r="L686" i="20"/>
  <c r="J679" i="20"/>
  <c r="J678" i="20"/>
  <c r="I678" i="20"/>
  <c r="K678" i="20" s="1"/>
  <c r="J675" i="20"/>
  <c r="J669" i="20" s="1"/>
  <c r="J654" i="20" s="1"/>
  <c r="I671" i="20"/>
  <c r="K671" i="20" s="1"/>
  <c r="I670" i="20"/>
  <c r="K670" i="20" s="1"/>
  <c r="I669" i="20"/>
  <c r="K674" i="20" s="1"/>
  <c r="P667" i="20"/>
  <c r="O667" i="20"/>
  <c r="P666" i="20"/>
  <c r="O666" i="20"/>
  <c r="O665" i="20"/>
  <c r="N665" i="20"/>
  <c r="M665" i="20"/>
  <c r="P665" i="20" s="1"/>
  <c r="L665" i="20"/>
  <c r="P660" i="20"/>
  <c r="N660" i="20"/>
  <c r="L660" i="20"/>
  <c r="O660" i="20" s="1"/>
  <c r="P659" i="20"/>
  <c r="O659" i="20"/>
  <c r="P658" i="20"/>
  <c r="N658" i="20"/>
  <c r="M658" i="20"/>
  <c r="N657" i="20"/>
  <c r="M657" i="20"/>
  <c r="P657" i="20" s="1"/>
  <c r="P656" i="20"/>
  <c r="N656" i="20"/>
  <c r="N655" i="20" s="1"/>
  <c r="M656" i="20"/>
  <c r="M655" i="20" s="1"/>
  <c r="P655" i="20" s="1"/>
  <c r="L656" i="20"/>
  <c r="O656" i="20" s="1"/>
  <c r="K652" i="20"/>
  <c r="J652" i="20"/>
  <c r="J651" i="20"/>
  <c r="J628" i="20" s="1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N639" i="20"/>
  <c r="M639" i="20"/>
  <c r="P639" i="20" s="1"/>
  <c r="N638" i="20"/>
  <c r="N634" i="20" s="1"/>
  <c r="L634" i="20"/>
  <c r="M634" i="20" s="1"/>
  <c r="P633" i="20"/>
  <c r="O633" i="20"/>
  <c r="P630" i="20"/>
  <c r="N630" i="20"/>
  <c r="M630" i="20"/>
  <c r="L630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5" i="20"/>
  <c r="J593" i="20" s="1"/>
  <c r="J594" i="20"/>
  <c r="I594" i="20"/>
  <c r="K594" i="20" s="1"/>
  <c r="I593" i="20"/>
  <c r="I592" i="20" s="1"/>
  <c r="J583" i="20"/>
  <c r="J577" i="20" s="1"/>
  <c r="J582" i="20"/>
  <c r="I577" i="20"/>
  <c r="J576" i="20"/>
  <c r="J559" i="20" s="1"/>
  <c r="J543" i="20" s="1"/>
  <c r="I576" i="20"/>
  <c r="I559" i="20" s="1"/>
  <c r="I543" i="20" s="1"/>
  <c r="K543" i="20" s="1"/>
  <c r="J569" i="20"/>
  <c r="I569" i="20"/>
  <c r="K569" i="20" s="1"/>
  <c r="J568" i="20"/>
  <c r="I568" i="20"/>
  <c r="J561" i="20"/>
  <c r="I561" i="20"/>
  <c r="K561" i="20" s="1"/>
  <c r="J560" i="20"/>
  <c r="I560" i="20"/>
  <c r="P557" i="20"/>
  <c r="L557" i="20"/>
  <c r="O557" i="20" s="1"/>
  <c r="P556" i="20"/>
  <c r="O556" i="20"/>
  <c r="P555" i="20"/>
  <c r="N555" i="20"/>
  <c r="N545" i="20" s="1"/>
  <c r="N544" i="20" s="1"/>
  <c r="M555" i="20"/>
  <c r="N553" i="20"/>
  <c r="N549" i="20"/>
  <c r="N547" i="20" s="1"/>
  <c r="L549" i="20"/>
  <c r="M549" i="20" s="1"/>
  <c r="P548" i="20"/>
  <c r="O548" i="20"/>
  <c r="N546" i="20"/>
  <c r="O545" i="20"/>
  <c r="M545" i="20"/>
  <c r="P545" i="20" s="1"/>
  <c r="L545" i="20"/>
  <c r="I542" i="20"/>
  <c r="K542" i="20" s="1"/>
  <c r="I541" i="20"/>
  <c r="K541" i="20" s="1"/>
  <c r="I540" i="20"/>
  <c r="K540" i="20" s="1"/>
  <c r="I539" i="20"/>
  <c r="I538" i="20"/>
  <c r="K538" i="20" s="1"/>
  <c r="I537" i="20"/>
  <c r="I522" i="20" s="1"/>
  <c r="K522" i="20" s="1"/>
  <c r="P535" i="20"/>
  <c r="L535" i="20"/>
  <c r="O535" i="20" s="1"/>
  <c r="P534" i="20"/>
  <c r="O534" i="20"/>
  <c r="P533" i="20"/>
  <c r="N533" i="20"/>
  <c r="M533" i="20"/>
  <c r="L533" i="20"/>
  <c r="O533" i="20" s="1"/>
  <c r="P528" i="20"/>
  <c r="N528" i="20"/>
  <c r="L528" i="20"/>
  <c r="L526" i="20" s="1"/>
  <c r="O526" i="20" s="1"/>
  <c r="P527" i="20"/>
  <c r="O527" i="20"/>
  <c r="P526" i="20"/>
  <c r="N526" i="20"/>
  <c r="M526" i="20"/>
  <c r="P525" i="20"/>
  <c r="N525" i="20"/>
  <c r="M525" i="20"/>
  <c r="O524" i="20"/>
  <c r="N524" i="20"/>
  <c r="N523" i="20" s="1"/>
  <c r="M524" i="20"/>
  <c r="P524" i="20" s="1"/>
  <c r="L524" i="20"/>
  <c r="M523" i="20"/>
  <c r="P523" i="20" s="1"/>
  <c r="K517" i="20"/>
  <c r="J517" i="20"/>
  <c r="J501" i="20" s="1"/>
  <c r="K516" i="20"/>
  <c r="P514" i="20"/>
  <c r="O514" i="20"/>
  <c r="P513" i="20"/>
  <c r="O513" i="20"/>
  <c r="P512" i="20"/>
  <c r="O512" i="20"/>
  <c r="N512" i="20"/>
  <c r="M512" i="20"/>
  <c r="L512" i="20"/>
  <c r="P507" i="20"/>
  <c r="O507" i="20"/>
  <c r="N507" i="20"/>
  <c r="N504" i="20" s="1"/>
  <c r="N502" i="20" s="1"/>
  <c r="P506" i="20"/>
  <c r="O506" i="20"/>
  <c r="O505" i="20"/>
  <c r="N505" i="20"/>
  <c r="M505" i="20"/>
  <c r="P505" i="20" s="1"/>
  <c r="L505" i="20"/>
  <c r="M504" i="20"/>
  <c r="P504" i="20" s="1"/>
  <c r="L504" i="20"/>
  <c r="O504" i="20" s="1"/>
  <c r="N503" i="20"/>
  <c r="M503" i="20"/>
  <c r="M502" i="20" s="1"/>
  <c r="P502" i="20" s="1"/>
  <c r="L503" i="20"/>
  <c r="O503" i="20" s="1"/>
  <c r="K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P477" i="20"/>
  <c r="N477" i="20"/>
  <c r="M477" i="20"/>
  <c r="L477" i="20"/>
  <c r="O477" i="20" s="1"/>
  <c r="N476" i="20"/>
  <c r="N472" i="20"/>
  <c r="N470" i="20" s="1"/>
  <c r="L472" i="20"/>
  <c r="L470" i="20" s="1"/>
  <c r="O470" i="20" s="1"/>
  <c r="P471" i="20"/>
  <c r="O471" i="20"/>
  <c r="N469" i="20"/>
  <c r="O468" i="20"/>
  <c r="N468" i="20"/>
  <c r="N467" i="20" s="1"/>
  <c r="M468" i="20"/>
  <c r="P468" i="20" s="1"/>
  <c r="L468" i="20"/>
  <c r="J466" i="20"/>
  <c r="I466" i="20"/>
  <c r="K466" i="20" s="1"/>
  <c r="J465" i="20"/>
  <c r="I465" i="20"/>
  <c r="K465" i="20" s="1"/>
  <c r="I464" i="20"/>
  <c r="K464" i="20" s="1"/>
  <c r="I463" i="20"/>
  <c r="K463" i="20" s="1"/>
  <c r="I462" i="20"/>
  <c r="I443" i="20" s="1"/>
  <c r="K443" i="20" s="1"/>
  <c r="I460" i="20"/>
  <c r="K460" i="20" s="1"/>
  <c r="K458" i="20"/>
  <c r="P456" i="20"/>
  <c r="L456" i="20"/>
  <c r="L454" i="20" s="1"/>
  <c r="O454" i="20" s="1"/>
  <c r="P455" i="20"/>
  <c r="O455" i="20"/>
  <c r="N454" i="20"/>
  <c r="M454" i="20"/>
  <c r="P454" i="20" s="1"/>
  <c r="N453" i="20"/>
  <c r="N449" i="20"/>
  <c r="L449" i="20"/>
  <c r="L447" i="20" s="1"/>
  <c r="P448" i="20"/>
  <c r="O448" i="20"/>
  <c r="N446" i="20"/>
  <c r="N445" i="20"/>
  <c r="N444" i="20" s="1"/>
  <c r="M445" i="20"/>
  <c r="P445" i="20" s="1"/>
  <c r="L445" i="20"/>
  <c r="O445" i="20" s="1"/>
  <c r="J443" i="20"/>
  <c r="J442" i="20"/>
  <c r="I441" i="20"/>
  <c r="K441" i="20" s="1"/>
  <c r="I440" i="20"/>
  <c r="I439" i="20"/>
  <c r="K439" i="20" s="1"/>
  <c r="I438" i="20"/>
  <c r="K438" i="20" s="1"/>
  <c r="I437" i="20"/>
  <c r="K437" i="20" s="1"/>
  <c r="I435" i="20"/>
  <c r="K435" i="20" s="1"/>
  <c r="J434" i="20"/>
  <c r="P431" i="20"/>
  <c r="L431" i="20"/>
  <c r="L429" i="20" s="1"/>
  <c r="O429" i="20" s="1"/>
  <c r="P430" i="20"/>
  <c r="O430" i="20"/>
  <c r="P429" i="20"/>
  <c r="N429" i="20"/>
  <c r="M429" i="20"/>
  <c r="N428" i="20"/>
  <c r="N424" i="20" s="1"/>
  <c r="L424" i="20"/>
  <c r="L422" i="20" s="1"/>
  <c r="P423" i="20"/>
  <c r="O423" i="20"/>
  <c r="P420" i="20"/>
  <c r="O420" i="20"/>
  <c r="N420" i="20"/>
  <c r="M420" i="20"/>
  <c r="L420" i="20"/>
  <c r="J418" i="20"/>
  <c r="K413" i="20"/>
  <c r="K412" i="20"/>
  <c r="N410" i="20"/>
  <c r="N408" i="20" s="1"/>
  <c r="M410" i="20"/>
  <c r="P410" i="20" s="1"/>
  <c r="L410" i="20"/>
  <c r="L408" i="20" s="1"/>
  <c r="O408" i="20" s="1"/>
  <c r="P409" i="20"/>
  <c r="O409" i="20"/>
  <c r="N407" i="20"/>
  <c r="N405" i="20" s="1"/>
  <c r="M407" i="20"/>
  <c r="P407" i="20" s="1"/>
  <c r="L407" i="20"/>
  <c r="O407" i="20" s="1"/>
  <c r="P406" i="20"/>
  <c r="O406" i="20"/>
  <c r="N403" i="20"/>
  <c r="M403" i="20"/>
  <c r="L403" i="20"/>
  <c r="O403" i="20" s="1"/>
  <c r="J401" i="20"/>
  <c r="I401" i="20"/>
  <c r="K401" i="20" s="1"/>
  <c r="K400" i="20"/>
  <c r="K399" i="20"/>
  <c r="N397" i="20"/>
  <c r="N395" i="20" s="1"/>
  <c r="M397" i="20"/>
  <c r="M395" i="20" s="1"/>
  <c r="P395" i="20" s="1"/>
  <c r="L397" i="20"/>
  <c r="O397" i="20" s="1"/>
  <c r="P396" i="20"/>
  <c r="O396" i="20"/>
  <c r="N394" i="20"/>
  <c r="N392" i="20" s="1"/>
  <c r="M394" i="20"/>
  <c r="M392" i="20" s="1"/>
  <c r="P392" i="20" s="1"/>
  <c r="L394" i="20"/>
  <c r="O394" i="20" s="1"/>
  <c r="P393" i="20"/>
  <c r="O393" i="20"/>
  <c r="P390" i="20"/>
  <c r="O390" i="20"/>
  <c r="N390" i="20"/>
  <c r="M390" i="20"/>
  <c r="L390" i="20"/>
  <c r="K388" i="20"/>
  <c r="J388" i="20"/>
  <c r="I388" i="20"/>
  <c r="J385" i="20"/>
  <c r="I385" i="20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I362" i="20"/>
  <c r="K361" i="20"/>
  <c r="J361" i="20"/>
  <c r="J360" i="20"/>
  <c r="I360" i="20"/>
  <c r="J359" i="20"/>
  <c r="I359" i="20"/>
  <c r="K358" i="20"/>
  <c r="J358" i="20"/>
  <c r="I355" i="20"/>
  <c r="N353" i="20"/>
  <c r="N351" i="20" s="1"/>
  <c r="M353" i="20"/>
  <c r="M351" i="20" s="1"/>
  <c r="L353" i="20"/>
  <c r="P352" i="20"/>
  <c r="O352" i="20"/>
  <c r="N350" i="20"/>
  <c r="M350" i="20"/>
  <c r="M348" i="20" s="1"/>
  <c r="L350" i="20"/>
  <c r="L348" i="20" s="1"/>
  <c r="P349" i="20"/>
  <c r="O349" i="20"/>
  <c r="P346" i="20"/>
  <c r="O346" i="20"/>
  <c r="N346" i="20"/>
  <c r="M346" i="20"/>
  <c r="L346" i="20"/>
  <c r="J343" i="20"/>
  <c r="J342" i="20"/>
  <c r="J341" i="20"/>
  <c r="J340" i="20"/>
  <c r="I340" i="20"/>
  <c r="J338" i="20"/>
  <c r="I338" i="20"/>
  <c r="N336" i="20"/>
  <c r="N334" i="20" s="1"/>
  <c r="M336" i="20"/>
  <c r="M334" i="20" s="1"/>
  <c r="P334" i="20" s="1"/>
  <c r="L336" i="20"/>
  <c r="L334" i="20" s="1"/>
  <c r="O334" i="20" s="1"/>
  <c r="P335" i="20"/>
  <c r="O335" i="20"/>
  <c r="N333" i="20"/>
  <c r="M333" i="20"/>
  <c r="L333" i="20"/>
  <c r="L331" i="20" s="1"/>
  <c r="P332" i="20"/>
  <c r="O332" i="20"/>
  <c r="P329" i="20"/>
  <c r="N329" i="20"/>
  <c r="M329" i="20"/>
  <c r="L329" i="20"/>
  <c r="I327" i="20"/>
  <c r="I325" i="20"/>
  <c r="K325" i="20" s="1"/>
  <c r="N323" i="20"/>
  <c r="N321" i="20" s="1"/>
  <c r="M323" i="20"/>
  <c r="P323" i="20" s="1"/>
  <c r="L323" i="20"/>
  <c r="O323" i="20" s="1"/>
  <c r="P322" i="20"/>
  <c r="O322" i="20"/>
  <c r="N320" i="20"/>
  <c r="M320" i="20"/>
  <c r="M318" i="20" s="1"/>
  <c r="P318" i="20" s="1"/>
  <c r="L320" i="20"/>
  <c r="O320" i="20" s="1"/>
  <c r="P319" i="20"/>
  <c r="O319" i="20"/>
  <c r="P316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L306" i="20"/>
  <c r="L304" i="20" s="1"/>
  <c r="O304" i="20" s="1"/>
  <c r="P305" i="20"/>
  <c r="O305" i="20"/>
  <c r="N303" i="20"/>
  <c r="M303" i="20"/>
  <c r="L303" i="20"/>
  <c r="L301" i="20" s="1"/>
  <c r="P302" i="20"/>
  <c r="O302" i="20"/>
  <c r="P299" i="20"/>
  <c r="N299" i="20"/>
  <c r="M299" i="20"/>
  <c r="L299" i="20"/>
  <c r="O299" i="20" s="1"/>
  <c r="J297" i="20"/>
  <c r="I294" i="20"/>
  <c r="K294" i="20" s="1"/>
  <c r="I293" i="20"/>
  <c r="K293" i="20" s="1"/>
  <c r="I291" i="20"/>
  <c r="K291" i="20" s="1"/>
  <c r="I290" i="20"/>
  <c r="K290" i="20" s="1"/>
  <c r="I288" i="20"/>
  <c r="I275" i="20" s="1"/>
  <c r="I287" i="20"/>
  <c r="K287" i="20" s="1"/>
  <c r="N285" i="20"/>
  <c r="N283" i="20" s="1"/>
  <c r="M285" i="20"/>
  <c r="P285" i="20" s="1"/>
  <c r="L285" i="20"/>
  <c r="L283" i="20" s="1"/>
  <c r="O283" i="20" s="1"/>
  <c r="P284" i="20"/>
  <c r="O284" i="20"/>
  <c r="N282" i="20"/>
  <c r="M282" i="20"/>
  <c r="L282" i="20"/>
  <c r="L280" i="20" s="1"/>
  <c r="P281" i="20"/>
  <c r="O281" i="20"/>
  <c r="O278" i="20"/>
  <c r="N278" i="20"/>
  <c r="M278" i="20"/>
  <c r="P278" i="20" s="1"/>
  <c r="L278" i="20"/>
  <c r="J276" i="20"/>
  <c r="I271" i="20"/>
  <c r="K271" i="20" s="1"/>
  <c r="N269" i="20"/>
  <c r="N267" i="20" s="1"/>
  <c r="M269" i="20"/>
  <c r="P269" i="20" s="1"/>
  <c r="L269" i="20"/>
  <c r="O269" i="20" s="1"/>
  <c r="P268" i="20"/>
  <c r="O268" i="20"/>
  <c r="N266" i="20"/>
  <c r="M266" i="20"/>
  <c r="L266" i="20"/>
  <c r="L264" i="20" s="1"/>
  <c r="P265" i="20"/>
  <c r="O265" i="20"/>
  <c r="P262" i="20"/>
  <c r="N262" i="20"/>
  <c r="M262" i="20"/>
  <c r="L262" i="20"/>
  <c r="O262" i="20" s="1"/>
  <c r="J260" i="20"/>
  <c r="K258" i="20"/>
  <c r="K257" i="20"/>
  <c r="I255" i="20"/>
  <c r="I248" i="20" s="1"/>
  <c r="K248" i="20" s="1"/>
  <c r="L253" i="20"/>
  <c r="L252" i="20"/>
  <c r="L251" i="20"/>
  <c r="L250" i="20"/>
  <c r="P249" i="20"/>
  <c r="N249" i="20"/>
  <c r="J248" i="20"/>
  <c r="J226" i="20" s="1"/>
  <c r="J180" i="20" s="1"/>
  <c r="K247" i="20"/>
  <c r="K246" i="20"/>
  <c r="I244" i="20"/>
  <c r="I237" i="20" s="1"/>
  <c r="K237" i="20" s="1"/>
  <c r="L242" i="20"/>
  <c r="L241" i="20"/>
  <c r="L240" i="20"/>
  <c r="L239" i="20"/>
  <c r="P238" i="20"/>
  <c r="N238" i="20"/>
  <c r="J237" i="20"/>
  <c r="J236" i="20"/>
  <c r="I236" i="20"/>
  <c r="K236" i="20" s="1"/>
  <c r="K235" i="20"/>
  <c r="J235" i="20"/>
  <c r="I235" i="20"/>
  <c r="J233" i="20"/>
  <c r="N231" i="20"/>
  <c r="N230" i="20"/>
  <c r="N229" i="20"/>
  <c r="N228" i="20"/>
  <c r="N227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I214" i="20"/>
  <c r="K214" i="20" s="1"/>
  <c r="L212" i="20"/>
  <c r="L211" i="20"/>
  <c r="L210" i="20"/>
  <c r="P209" i="20"/>
  <c r="N209" i="20"/>
  <c r="J208" i="20"/>
  <c r="K207" i="20"/>
  <c r="K206" i="20"/>
  <c r="I204" i="20"/>
  <c r="L202" i="20"/>
  <c r="L201" i="20"/>
  <c r="L200" i="20"/>
  <c r="L199" i="20"/>
  <c r="P198" i="20"/>
  <c r="N198" i="20"/>
  <c r="J197" i="20"/>
  <c r="J195" i="20"/>
  <c r="J194" i="20"/>
  <c r="I193" i="20"/>
  <c r="P191" i="20"/>
  <c r="L191" i="20"/>
  <c r="O191" i="20" s="1"/>
  <c r="J190" i="20"/>
  <c r="N189" i="20"/>
  <c r="N187" i="20" s="1"/>
  <c r="M189" i="20"/>
  <c r="P189" i="20" s="1"/>
  <c r="L189" i="20"/>
  <c r="O189" i="20" s="1"/>
  <c r="P188" i="20"/>
  <c r="O188" i="20"/>
  <c r="N186" i="20"/>
  <c r="N184" i="20" s="1"/>
  <c r="M186" i="20"/>
  <c r="L186" i="20"/>
  <c r="P185" i="20"/>
  <c r="O185" i="20"/>
  <c r="P182" i="20"/>
  <c r="O182" i="20"/>
  <c r="N182" i="20"/>
  <c r="M182" i="20"/>
  <c r="L182" i="20"/>
  <c r="J177" i="20"/>
  <c r="J164" i="20" s="1"/>
  <c r="I176" i="20"/>
  <c r="K176" i="20" s="1"/>
  <c r="J174" i="20"/>
  <c r="N173" i="20"/>
  <c r="M173" i="20"/>
  <c r="P173" i="20" s="1"/>
  <c r="L173" i="20"/>
  <c r="O173" i="20" s="1"/>
  <c r="P172" i="20"/>
  <c r="O172" i="20"/>
  <c r="N170" i="20"/>
  <c r="N168" i="20" s="1"/>
  <c r="M170" i="20"/>
  <c r="L170" i="20"/>
  <c r="L168" i="20" s="1"/>
  <c r="P169" i="20"/>
  <c r="O169" i="20"/>
  <c r="O166" i="20"/>
  <c r="N166" i="20"/>
  <c r="M166" i="20"/>
  <c r="L166" i="20"/>
  <c r="I159" i="20"/>
  <c r="K159" i="20" s="1"/>
  <c r="N157" i="20"/>
  <c r="N155" i="20" s="1"/>
  <c r="M157" i="20"/>
  <c r="P157" i="20" s="1"/>
  <c r="L157" i="20"/>
  <c r="L155" i="20" s="1"/>
  <c r="O155" i="20" s="1"/>
  <c r="P156" i="20"/>
  <c r="O156" i="20"/>
  <c r="N154" i="20"/>
  <c r="M154" i="20"/>
  <c r="L154" i="20"/>
  <c r="L152" i="20" s="1"/>
  <c r="P153" i="20"/>
  <c r="O153" i="20"/>
  <c r="N150" i="20"/>
  <c r="M150" i="20"/>
  <c r="L150" i="20"/>
  <c r="O150" i="20" s="1"/>
  <c r="J148" i="20"/>
  <c r="I146" i="20"/>
  <c r="I130" i="20" s="1"/>
  <c r="K130" i="20" s="1"/>
  <c r="I145" i="20"/>
  <c r="I144" i="20"/>
  <c r="K144" i="20" s="1"/>
  <c r="N140" i="20"/>
  <c r="N138" i="20" s="1"/>
  <c r="M140" i="20"/>
  <c r="P140" i="20" s="1"/>
  <c r="L140" i="20"/>
  <c r="O140" i="20" s="1"/>
  <c r="P139" i="20"/>
  <c r="O139" i="20"/>
  <c r="N137" i="20"/>
  <c r="M137" i="20"/>
  <c r="M135" i="20" s="1"/>
  <c r="P135" i="20" s="1"/>
  <c r="L137" i="20"/>
  <c r="O137" i="20" s="1"/>
  <c r="P136" i="20"/>
  <c r="O136" i="20"/>
  <c r="P133" i="20"/>
  <c r="N133" i="20"/>
  <c r="M133" i="20"/>
  <c r="L133" i="20"/>
  <c r="J130" i="20"/>
  <c r="N127" i="20"/>
  <c r="N125" i="20" s="1"/>
  <c r="M127" i="20"/>
  <c r="L127" i="20"/>
  <c r="L125" i="20" s="1"/>
  <c r="O125" i="20" s="1"/>
  <c r="P126" i="20"/>
  <c r="O126" i="20"/>
  <c r="N124" i="20"/>
  <c r="M124" i="20"/>
  <c r="P124" i="20" s="1"/>
  <c r="L124" i="20"/>
  <c r="P123" i="20"/>
  <c r="O123" i="20"/>
  <c r="O120" i="20"/>
  <c r="N120" i="20"/>
  <c r="M120" i="20"/>
  <c r="P120" i="20" s="1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I99" i="20"/>
  <c r="I87" i="20" s="1"/>
  <c r="K87" i="20" s="1"/>
  <c r="J98" i="20"/>
  <c r="J86" i="20" s="1"/>
  <c r="I98" i="20"/>
  <c r="K98" i="20" s="1"/>
  <c r="N96" i="20"/>
  <c r="N94" i="20" s="1"/>
  <c r="M96" i="20"/>
  <c r="P96" i="20" s="1"/>
  <c r="L96" i="20"/>
  <c r="O96" i="20" s="1"/>
  <c r="P95" i="20"/>
  <c r="O95" i="20"/>
  <c r="N93" i="20"/>
  <c r="N91" i="20" s="1"/>
  <c r="M93" i="20"/>
  <c r="M91" i="20" s="1"/>
  <c r="L93" i="20"/>
  <c r="L91" i="20" s="1"/>
  <c r="P92" i="20"/>
  <c r="O92" i="20"/>
  <c r="P89" i="20"/>
  <c r="O89" i="20"/>
  <c r="N89" i="20"/>
  <c r="M89" i="20"/>
  <c r="L89" i="20"/>
  <c r="J87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K78" i="20" s="1"/>
  <c r="J77" i="20"/>
  <c r="J76" i="20"/>
  <c r="N74" i="20"/>
  <c r="M74" i="20"/>
  <c r="P74" i="20" s="1"/>
  <c r="L74" i="20"/>
  <c r="O74" i="20" s="1"/>
  <c r="P73" i="20"/>
  <c r="O73" i="20"/>
  <c r="N71" i="20"/>
  <c r="N69" i="20" s="1"/>
  <c r="M71" i="20"/>
  <c r="L71" i="20"/>
  <c r="P70" i="20"/>
  <c r="O70" i="20"/>
  <c r="P67" i="20"/>
  <c r="O67" i="20"/>
  <c r="N67" i="20"/>
  <c r="M67" i="20"/>
  <c r="L67" i="20"/>
  <c r="J65" i="20"/>
  <c r="J64" i="20"/>
  <c r="N61" i="20"/>
  <c r="N59" i="20" s="1"/>
  <c r="M61" i="20"/>
  <c r="P61" i="20" s="1"/>
  <c r="L61" i="20"/>
  <c r="L59" i="20" s="1"/>
  <c r="O59" i="20" s="1"/>
  <c r="P60" i="20"/>
  <c r="O60" i="20"/>
  <c r="N58" i="20"/>
  <c r="M58" i="20"/>
  <c r="M56" i="20" s="1"/>
  <c r="L58" i="20"/>
  <c r="L56" i="20" s="1"/>
  <c r="P57" i="20"/>
  <c r="O57" i="20"/>
  <c r="N54" i="20"/>
  <c r="M54" i="20"/>
  <c r="L54" i="20"/>
  <c r="O54" i="20" s="1"/>
  <c r="N49" i="20"/>
  <c r="N47" i="20" s="1"/>
  <c r="M49" i="20"/>
  <c r="M47" i="20" s="1"/>
  <c r="P47" i="20" s="1"/>
  <c r="L49" i="20"/>
  <c r="O49" i="20" s="1"/>
  <c r="P48" i="20"/>
  <c r="O48" i="20"/>
  <c r="N46" i="20"/>
  <c r="M46" i="20"/>
  <c r="L46" i="20"/>
  <c r="L44" i="20" s="1"/>
  <c r="P45" i="20"/>
  <c r="O45" i="20"/>
  <c r="P42" i="20"/>
  <c r="O42" i="20"/>
  <c r="N42" i="20"/>
  <c r="M42" i="20"/>
  <c r="L42" i="20"/>
  <c r="N36" i="20"/>
  <c r="M36" i="20"/>
  <c r="P36" i="20" s="1"/>
  <c r="P35" i="20"/>
  <c r="N35" i="20"/>
  <c r="M35" i="20"/>
  <c r="L35" i="20"/>
  <c r="N34" i="20"/>
  <c r="N33" i="20"/>
  <c r="N30" i="20" s="1"/>
  <c r="N32" i="20"/>
  <c r="N29" i="20" s="1"/>
  <c r="M32" i="20"/>
  <c r="M12" i="20" s="1"/>
  <c r="L32" i="20"/>
  <c r="L12" i="20" s="1"/>
  <c r="N28" i="20"/>
  <c r="O25" i="20"/>
  <c r="N25" i="20"/>
  <c r="N15" i="20" s="1"/>
  <c r="M25" i="20"/>
  <c r="L25" i="20"/>
  <c r="P22" i="20"/>
  <c r="O22" i="20"/>
  <c r="N22" i="20"/>
  <c r="M22" i="20"/>
  <c r="L22" i="20"/>
  <c r="M19" i="20"/>
  <c r="P19" i="20" s="1"/>
  <c r="L19" i="20"/>
  <c r="O19" i="20" s="1"/>
  <c r="L15" i="20"/>
  <c r="N12" i="20"/>
  <c r="N9" i="20" s="1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N807" i="19" s="1"/>
  <c r="P809" i="19"/>
  <c r="O809" i="19"/>
  <c r="N808" i="19"/>
  <c r="M808" i="19"/>
  <c r="P808" i="19" s="1"/>
  <c r="L808" i="19"/>
  <c r="O808" i="19" s="1"/>
  <c r="M807" i="19"/>
  <c r="L807" i="19"/>
  <c r="O807" i="19" s="1"/>
  <c r="P806" i="19"/>
  <c r="N806" i="19"/>
  <c r="M806" i="19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O796" i="19"/>
  <c r="N796" i="19"/>
  <c r="M796" i="19"/>
  <c r="P796" i="19" s="1"/>
  <c r="L796" i="19"/>
  <c r="P791" i="19"/>
  <c r="N791" i="19"/>
  <c r="N788" i="19" s="1"/>
  <c r="L791" i="19"/>
  <c r="L789" i="19" s="1"/>
  <c r="O789" i="19" s="1"/>
  <c r="P790" i="19"/>
  <c r="O790" i="19"/>
  <c r="N789" i="19"/>
  <c r="M789" i="19"/>
  <c r="P789" i="19" s="1"/>
  <c r="M788" i="19"/>
  <c r="L788" i="19"/>
  <c r="O788" i="19" s="1"/>
  <c r="P787" i="19"/>
  <c r="N787" i="19"/>
  <c r="N786" i="19" s="1"/>
  <c r="M787" i="19"/>
  <c r="L787" i="19"/>
  <c r="P782" i="19"/>
  <c r="O782" i="19"/>
  <c r="P781" i="19"/>
  <c r="O781" i="19"/>
  <c r="P780" i="19"/>
  <c r="O780" i="19"/>
  <c r="N780" i="19"/>
  <c r="M780" i="19"/>
  <c r="L780" i="19"/>
  <c r="P775" i="19"/>
  <c r="O775" i="19"/>
  <c r="N775" i="19"/>
  <c r="P774" i="19"/>
  <c r="O774" i="19"/>
  <c r="O773" i="19"/>
  <c r="N773" i="19"/>
  <c r="M773" i="19"/>
  <c r="P773" i="19" s="1"/>
  <c r="L773" i="19"/>
  <c r="N772" i="19"/>
  <c r="N770" i="19" s="1"/>
  <c r="M772" i="19"/>
  <c r="P772" i="19" s="1"/>
  <c r="L772" i="19"/>
  <c r="O772" i="19" s="1"/>
  <c r="N771" i="19"/>
  <c r="M771" i="19"/>
  <c r="L771" i="19"/>
  <c r="O771" i="19" s="1"/>
  <c r="L770" i="19"/>
  <c r="O770" i="19" s="1"/>
  <c r="K769" i="19"/>
  <c r="J769" i="19"/>
  <c r="P766" i="19"/>
  <c r="O766" i="19"/>
  <c r="P765" i="19"/>
  <c r="O765" i="19"/>
  <c r="P764" i="19"/>
  <c r="O764" i="19"/>
  <c r="N764" i="19"/>
  <c r="M764" i="19"/>
  <c r="L764" i="19"/>
  <c r="P759" i="19"/>
  <c r="O759" i="19"/>
  <c r="N759" i="19"/>
  <c r="P758" i="19"/>
  <c r="O758" i="19"/>
  <c r="O757" i="19"/>
  <c r="N757" i="19"/>
  <c r="M757" i="19"/>
  <c r="P757" i="19" s="1"/>
  <c r="L757" i="19"/>
  <c r="N756" i="19"/>
  <c r="N754" i="19" s="1"/>
  <c r="M756" i="19"/>
  <c r="P756" i="19" s="1"/>
  <c r="L756" i="19"/>
  <c r="O756" i="19" s="1"/>
  <c r="N755" i="19"/>
  <c r="M755" i="19"/>
  <c r="L755" i="19"/>
  <c r="O755" i="19" s="1"/>
  <c r="L754" i="19"/>
  <c r="O754" i="19" s="1"/>
  <c r="K753" i="19"/>
  <c r="J753" i="19"/>
  <c r="P749" i="19"/>
  <c r="O749" i="19"/>
  <c r="P748" i="19"/>
  <c r="O748" i="19"/>
  <c r="P747" i="19"/>
  <c r="O747" i="19"/>
  <c r="N747" i="19"/>
  <c r="M747" i="19"/>
  <c r="L747" i="19"/>
  <c r="P742" i="19"/>
  <c r="O742" i="19"/>
  <c r="N742" i="19"/>
  <c r="P741" i="19"/>
  <c r="O741" i="19"/>
  <c r="O740" i="19"/>
  <c r="N740" i="19"/>
  <c r="M740" i="19"/>
  <c r="P740" i="19" s="1"/>
  <c r="L740" i="19"/>
  <c r="N739" i="19"/>
  <c r="N737" i="19" s="1"/>
  <c r="M739" i="19"/>
  <c r="P739" i="19" s="1"/>
  <c r="L739" i="19"/>
  <c r="O739" i="19" s="1"/>
  <c r="N738" i="19"/>
  <c r="M738" i="19"/>
  <c r="L738" i="19"/>
  <c r="O738" i="19" s="1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P695" i="19"/>
  <c r="O695" i="19"/>
  <c r="N695" i="19"/>
  <c r="M695" i="19"/>
  <c r="L695" i="19"/>
  <c r="N690" i="19"/>
  <c r="L690" i="19"/>
  <c r="M690" i="19" s="1"/>
  <c r="P690" i="19" s="1"/>
  <c r="N688" i="19"/>
  <c r="N687" i="19"/>
  <c r="N685" i="19" s="1"/>
  <c r="N686" i="19"/>
  <c r="M686" i="19"/>
  <c r="L686" i="19"/>
  <c r="O686" i="19" s="1"/>
  <c r="J679" i="19"/>
  <c r="J678" i="19" s="1"/>
  <c r="I678" i="19"/>
  <c r="K678" i="19" s="1"/>
  <c r="J675" i="19"/>
  <c r="J669" i="19" s="1"/>
  <c r="I671" i="19"/>
  <c r="K671" i="19" s="1"/>
  <c r="I670" i="19"/>
  <c r="K670" i="19" s="1"/>
  <c r="I669" i="19"/>
  <c r="K672" i="19" s="1"/>
  <c r="P667" i="19"/>
  <c r="O667" i="19"/>
  <c r="P666" i="19"/>
  <c r="O666" i="19"/>
  <c r="N665" i="19"/>
  <c r="M665" i="19"/>
  <c r="P665" i="19" s="1"/>
  <c r="L665" i="19"/>
  <c r="O665" i="19" s="1"/>
  <c r="N660" i="19"/>
  <c r="N658" i="19" s="1"/>
  <c r="L660" i="19"/>
  <c r="P659" i="19"/>
  <c r="O659" i="19"/>
  <c r="N657" i="19"/>
  <c r="P656" i="19"/>
  <c r="O656" i="19"/>
  <c r="N656" i="19"/>
  <c r="M656" i="19"/>
  <c r="L656" i="19"/>
  <c r="N655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P639" i="19"/>
  <c r="N639" i="19"/>
  <c r="M639" i="19"/>
  <c r="N634" i="19"/>
  <c r="N632" i="19" s="1"/>
  <c r="L634" i="19"/>
  <c r="M634" i="19" s="1"/>
  <c r="P633" i="19"/>
  <c r="O633" i="19"/>
  <c r="N631" i="19"/>
  <c r="N630" i="19"/>
  <c r="N629" i="19" s="1"/>
  <c r="M630" i="19"/>
  <c r="P630" i="19" s="1"/>
  <c r="L630" i="19"/>
  <c r="O630" i="19" s="1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2" i="19" s="1"/>
  <c r="J596" i="19"/>
  <c r="J594" i="19" s="1"/>
  <c r="J595" i="19"/>
  <c r="I594" i="19"/>
  <c r="I593" i="19"/>
  <c r="I592" i="19" s="1"/>
  <c r="J583" i="19"/>
  <c r="J577" i="19" s="1"/>
  <c r="J582" i="19"/>
  <c r="I577" i="19"/>
  <c r="J576" i="19"/>
  <c r="J559" i="19" s="1"/>
  <c r="J543" i="19" s="1"/>
  <c r="I576" i="19"/>
  <c r="I559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P557" i="19"/>
  <c r="L557" i="19"/>
  <c r="L555" i="19" s="1"/>
  <c r="O555" i="19" s="1"/>
  <c r="P556" i="19"/>
  <c r="O556" i="19"/>
  <c r="N555" i="19"/>
  <c r="N545" i="19" s="1"/>
  <c r="N544" i="19" s="1"/>
  <c r="M555" i="19"/>
  <c r="P555" i="19" s="1"/>
  <c r="N549" i="19"/>
  <c r="L549" i="19"/>
  <c r="L547" i="19" s="1"/>
  <c r="P548" i="19"/>
  <c r="O548" i="19"/>
  <c r="N547" i="19"/>
  <c r="N546" i="19"/>
  <c r="L545" i="19"/>
  <c r="I542" i="19"/>
  <c r="K542" i="19" s="1"/>
  <c r="I541" i="19"/>
  <c r="K541" i="19" s="1"/>
  <c r="I540" i="19"/>
  <c r="K540" i="19" s="1"/>
  <c r="I539" i="19"/>
  <c r="K539" i="19" s="1"/>
  <c r="I538" i="19"/>
  <c r="I537" i="19"/>
  <c r="P535" i="19"/>
  <c r="L535" i="19"/>
  <c r="P534" i="19"/>
  <c r="O534" i="19"/>
  <c r="N533" i="19"/>
  <c r="M533" i="19"/>
  <c r="P533" i="19" s="1"/>
  <c r="P528" i="19"/>
  <c r="N528" i="19"/>
  <c r="N525" i="19" s="1"/>
  <c r="N523" i="19" s="1"/>
  <c r="L528" i="19"/>
  <c r="O528" i="19" s="1"/>
  <c r="P527" i="19"/>
  <c r="O527" i="19"/>
  <c r="P526" i="19"/>
  <c r="N526" i="19"/>
  <c r="M526" i="19"/>
  <c r="L526" i="19"/>
  <c r="O526" i="19" s="1"/>
  <c r="P525" i="19"/>
  <c r="M525" i="19"/>
  <c r="P524" i="19"/>
  <c r="O524" i="19"/>
  <c r="N524" i="19"/>
  <c r="M524" i="19"/>
  <c r="L524" i="19"/>
  <c r="M523" i="19"/>
  <c r="P523" i="19" s="1"/>
  <c r="K517" i="19"/>
  <c r="J517" i="19"/>
  <c r="K516" i="19"/>
  <c r="P514" i="19"/>
  <c r="O514" i="19"/>
  <c r="P513" i="19"/>
  <c r="O513" i="19"/>
  <c r="P512" i="19"/>
  <c r="N512" i="19"/>
  <c r="M512" i="19"/>
  <c r="L512" i="19"/>
  <c r="O512" i="19" s="1"/>
  <c r="P507" i="19"/>
  <c r="O507" i="19"/>
  <c r="N507" i="19"/>
  <c r="P506" i="19"/>
  <c r="O506" i="19"/>
  <c r="P505" i="19"/>
  <c r="O505" i="19"/>
  <c r="N505" i="19"/>
  <c r="M505" i="19"/>
  <c r="L505" i="19"/>
  <c r="O504" i="19"/>
  <c r="N504" i="19"/>
  <c r="M504" i="19"/>
  <c r="P504" i="19" s="1"/>
  <c r="L504" i="19"/>
  <c r="N503" i="19"/>
  <c r="N502" i="19" s="1"/>
  <c r="M503" i="19"/>
  <c r="P503" i="19" s="1"/>
  <c r="L503" i="19"/>
  <c r="O503" i="19" s="1"/>
  <c r="M502" i="19"/>
  <c r="P502" i="19" s="1"/>
  <c r="L502" i="19"/>
  <c r="O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P477" i="19"/>
  <c r="N477" i="19"/>
  <c r="M477" i="19"/>
  <c r="N472" i="19"/>
  <c r="N470" i="19" s="1"/>
  <c r="L472" i="19"/>
  <c r="M472" i="19" s="1"/>
  <c r="P472" i="19" s="1"/>
  <c r="P471" i="19"/>
  <c r="O471" i="19"/>
  <c r="N469" i="19"/>
  <c r="O468" i="19"/>
  <c r="N468" i="19"/>
  <c r="N467" i="19" s="1"/>
  <c r="M468" i="19"/>
  <c r="P468" i="19" s="1"/>
  <c r="L468" i="19"/>
  <c r="J466" i="19"/>
  <c r="I466" i="19"/>
  <c r="J465" i="19"/>
  <c r="I465" i="19"/>
  <c r="I464" i="19"/>
  <c r="K464" i="19" s="1"/>
  <c r="I463" i="19"/>
  <c r="K463" i="19" s="1"/>
  <c r="I462" i="19"/>
  <c r="K462" i="19" s="1"/>
  <c r="I460" i="19"/>
  <c r="K460" i="19" s="1"/>
  <c r="K458" i="19"/>
  <c r="P456" i="19"/>
  <c r="L456" i="19"/>
  <c r="O456" i="19" s="1"/>
  <c r="P455" i="19"/>
  <c r="O455" i="19"/>
  <c r="N454" i="19"/>
  <c r="M454" i="19"/>
  <c r="P454" i="19" s="1"/>
  <c r="N449" i="19"/>
  <c r="N447" i="19" s="1"/>
  <c r="L449" i="19"/>
  <c r="L447" i="19" s="1"/>
  <c r="P448" i="19"/>
  <c r="O448" i="19"/>
  <c r="N446" i="19"/>
  <c r="N444" i="19" s="1"/>
  <c r="P445" i="19"/>
  <c r="O445" i="19"/>
  <c r="N445" i="19"/>
  <c r="M445" i="19"/>
  <c r="L445" i="19"/>
  <c r="J443" i="19"/>
  <c r="J442" i="19"/>
  <c r="I441" i="19"/>
  <c r="K441" i="19" s="1"/>
  <c r="I440" i="19"/>
  <c r="K440" i="19" s="1"/>
  <c r="I439" i="19"/>
  <c r="K439" i="19" s="1"/>
  <c r="I438" i="19"/>
  <c r="K438" i="19" s="1"/>
  <c r="I437" i="19"/>
  <c r="K437" i="19" s="1"/>
  <c r="I435" i="19"/>
  <c r="I433" i="19" s="1"/>
  <c r="J434" i="19"/>
  <c r="J418" i="19" s="1"/>
  <c r="P431" i="19"/>
  <c r="L431" i="19"/>
  <c r="O431" i="19" s="1"/>
  <c r="P430" i="19"/>
  <c r="O430" i="19"/>
  <c r="N429" i="19"/>
  <c r="M429" i="19"/>
  <c r="P429" i="19" s="1"/>
  <c r="N424" i="19"/>
  <c r="N421" i="19" s="1"/>
  <c r="L424" i="19"/>
  <c r="L422" i="19" s="1"/>
  <c r="O422" i="19" s="1"/>
  <c r="P423" i="19"/>
  <c r="O423" i="19"/>
  <c r="N422" i="19"/>
  <c r="N420" i="19"/>
  <c r="M420" i="19"/>
  <c r="L420" i="19"/>
  <c r="O420" i="19" s="1"/>
  <c r="K413" i="19"/>
  <c r="K412" i="19"/>
  <c r="N410" i="19"/>
  <c r="N408" i="19" s="1"/>
  <c r="M410" i="19"/>
  <c r="M408" i="19" s="1"/>
  <c r="P408" i="19" s="1"/>
  <c r="L410" i="19"/>
  <c r="O410" i="19" s="1"/>
  <c r="P409" i="19"/>
  <c r="O409" i="19"/>
  <c r="N407" i="19"/>
  <c r="N405" i="19" s="1"/>
  <c r="M407" i="19"/>
  <c r="P407" i="19" s="1"/>
  <c r="L407" i="19"/>
  <c r="L405" i="19" s="1"/>
  <c r="O405" i="19" s="1"/>
  <c r="P406" i="19"/>
  <c r="O406" i="19"/>
  <c r="P403" i="19"/>
  <c r="O403" i="19"/>
  <c r="N403" i="19"/>
  <c r="M403" i="19"/>
  <c r="L403" i="19"/>
  <c r="K401" i="19"/>
  <c r="J401" i="19"/>
  <c r="I401" i="19"/>
  <c r="K400" i="19"/>
  <c r="K399" i="19"/>
  <c r="N397" i="19"/>
  <c r="N395" i="19" s="1"/>
  <c r="M397" i="19"/>
  <c r="L397" i="19"/>
  <c r="O397" i="19" s="1"/>
  <c r="P396" i="19"/>
  <c r="O396" i="19"/>
  <c r="N394" i="19"/>
  <c r="N392" i="19" s="1"/>
  <c r="M394" i="19"/>
  <c r="L394" i="19"/>
  <c r="L392" i="19" s="1"/>
  <c r="O392" i="19" s="1"/>
  <c r="P393" i="19"/>
  <c r="O393" i="19"/>
  <c r="P390" i="19"/>
  <c r="N390" i="19"/>
  <c r="M390" i="19"/>
  <c r="L390" i="19"/>
  <c r="K388" i="19"/>
  <c r="J388" i="19"/>
  <c r="I388" i="19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M351" i="19" s="1"/>
  <c r="L353" i="19"/>
  <c r="L351" i="19" s="1"/>
  <c r="P352" i="19"/>
  <c r="O352" i="19"/>
  <c r="N350" i="19"/>
  <c r="N348" i="19" s="1"/>
  <c r="M350" i="19"/>
  <c r="M348" i="19" s="1"/>
  <c r="L350" i="19"/>
  <c r="L348" i="19" s="1"/>
  <c r="P349" i="19"/>
  <c r="O349" i="19"/>
  <c r="N346" i="19"/>
  <c r="M346" i="19"/>
  <c r="L346" i="19"/>
  <c r="O346" i="19" s="1"/>
  <c r="J343" i="19"/>
  <c r="J342" i="19"/>
  <c r="J341" i="19"/>
  <c r="J340" i="19"/>
  <c r="I340" i="19"/>
  <c r="J338" i="19"/>
  <c r="I338" i="19"/>
  <c r="N336" i="19"/>
  <c r="N334" i="19" s="1"/>
  <c r="M336" i="19"/>
  <c r="L336" i="19"/>
  <c r="L334" i="19" s="1"/>
  <c r="O334" i="19" s="1"/>
  <c r="P335" i="19"/>
  <c r="O335" i="19"/>
  <c r="N333" i="19"/>
  <c r="M333" i="19"/>
  <c r="M331" i="19" s="1"/>
  <c r="L333" i="19"/>
  <c r="L331" i="19" s="1"/>
  <c r="P332" i="19"/>
  <c r="O332" i="19"/>
  <c r="P329" i="19"/>
  <c r="O329" i="19"/>
  <c r="N329" i="19"/>
  <c r="M329" i="19"/>
  <c r="L329" i="19"/>
  <c r="I327" i="19"/>
  <c r="I325" i="19"/>
  <c r="N323" i="19"/>
  <c r="N321" i="19" s="1"/>
  <c r="M323" i="19"/>
  <c r="P323" i="19" s="1"/>
  <c r="L323" i="19"/>
  <c r="O323" i="19" s="1"/>
  <c r="P322" i="19"/>
  <c r="O322" i="19"/>
  <c r="N320" i="19"/>
  <c r="N318" i="19" s="1"/>
  <c r="M320" i="19"/>
  <c r="P320" i="19" s="1"/>
  <c r="L320" i="19"/>
  <c r="P319" i="19"/>
  <c r="O319" i="19"/>
  <c r="P316" i="19"/>
  <c r="N316" i="19"/>
  <c r="M316" i="19"/>
  <c r="L316" i="19"/>
  <c r="O316" i="19" s="1"/>
  <c r="J314" i="19"/>
  <c r="I312" i="19"/>
  <c r="K312" i="19" s="1"/>
  <c r="I311" i="19"/>
  <c r="K311" i="19" s="1"/>
  <c r="I310" i="19"/>
  <c r="K310" i="19" s="1"/>
  <c r="I309" i="19"/>
  <c r="N306" i="19"/>
  <c r="M306" i="19"/>
  <c r="P306" i="19" s="1"/>
  <c r="L306" i="19"/>
  <c r="O306" i="19" s="1"/>
  <c r="P305" i="19"/>
  <c r="O305" i="19"/>
  <c r="N303" i="19"/>
  <c r="N301" i="19" s="1"/>
  <c r="M303" i="19"/>
  <c r="L303" i="19"/>
  <c r="L301" i="19" s="1"/>
  <c r="O301" i="19" s="1"/>
  <c r="P302" i="19"/>
  <c r="O302" i="19"/>
  <c r="P299" i="19"/>
  <c r="N299" i="19"/>
  <c r="M299" i="19"/>
  <c r="L299" i="19"/>
  <c r="O299" i="19" s="1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K287" i="19" s="1"/>
  <c r="N285" i="19"/>
  <c r="N283" i="19" s="1"/>
  <c r="M285" i="19"/>
  <c r="P285" i="19" s="1"/>
  <c r="L285" i="19"/>
  <c r="L283" i="19" s="1"/>
  <c r="O283" i="19" s="1"/>
  <c r="P284" i="19"/>
  <c r="O284" i="19"/>
  <c r="N282" i="19"/>
  <c r="M282" i="19"/>
  <c r="M280" i="19" s="1"/>
  <c r="P280" i="19" s="1"/>
  <c r="L282" i="19"/>
  <c r="L280" i="19" s="1"/>
  <c r="O280" i="19" s="1"/>
  <c r="P281" i="19"/>
  <c r="O281" i="19"/>
  <c r="O278" i="19"/>
  <c r="N278" i="19"/>
  <c r="M278" i="19"/>
  <c r="P278" i="19" s="1"/>
  <c r="L278" i="19"/>
  <c r="J276" i="19"/>
  <c r="I271" i="19"/>
  <c r="K271" i="19" s="1"/>
  <c r="N269" i="19"/>
  <c r="N267" i="19" s="1"/>
  <c r="M269" i="19"/>
  <c r="P269" i="19" s="1"/>
  <c r="L269" i="19"/>
  <c r="L267" i="19" s="1"/>
  <c r="O267" i="19" s="1"/>
  <c r="P268" i="19"/>
  <c r="O268" i="19"/>
  <c r="N266" i="19"/>
  <c r="M266" i="19"/>
  <c r="M264" i="19" s="1"/>
  <c r="L266" i="19"/>
  <c r="L264" i="19" s="1"/>
  <c r="P265" i="19"/>
  <c r="O265" i="19"/>
  <c r="N262" i="19"/>
  <c r="M262" i="19"/>
  <c r="P262" i="19" s="1"/>
  <c r="L262" i="19"/>
  <c r="O262" i="19" s="1"/>
  <c r="J260" i="19"/>
  <c r="K258" i="19"/>
  <c r="K257" i="19"/>
  <c r="I255" i="19"/>
  <c r="I248" i="19" s="1"/>
  <c r="L253" i="19"/>
  <c r="L252" i="19"/>
  <c r="L251" i="19"/>
  <c r="L250" i="19"/>
  <c r="P249" i="19"/>
  <c r="N249" i="19"/>
  <c r="J248" i="19"/>
  <c r="J226" i="19" s="1"/>
  <c r="J180" i="19" s="1"/>
  <c r="K247" i="19"/>
  <c r="K246" i="19"/>
  <c r="I244" i="19"/>
  <c r="K244" i="19" s="1"/>
  <c r="L242" i="19"/>
  <c r="L241" i="19"/>
  <c r="L240" i="19"/>
  <c r="L239" i="19"/>
  <c r="P238" i="19"/>
  <c r="N238" i="19"/>
  <c r="N227" i="19" s="1"/>
  <c r="J237" i="19"/>
  <c r="J236" i="19"/>
  <c r="I236" i="19"/>
  <c r="K236" i="19" s="1"/>
  <c r="K235" i="19"/>
  <c r="J235" i="19"/>
  <c r="I235" i="19"/>
  <c r="J233" i="19"/>
  <c r="N231" i="19"/>
  <c r="N230" i="19"/>
  <c r="N229" i="19"/>
  <c r="N228" i="19"/>
  <c r="I225" i="19"/>
  <c r="I224" i="19"/>
  <c r="K224" i="19" s="1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M189" i="19"/>
  <c r="P189" i="19" s="1"/>
  <c r="L189" i="19"/>
  <c r="L187" i="19" s="1"/>
  <c r="O187" i="19" s="1"/>
  <c r="P188" i="19"/>
  <c r="O188" i="19"/>
  <c r="N186" i="19"/>
  <c r="N184" i="19" s="1"/>
  <c r="M186" i="19"/>
  <c r="L186" i="19"/>
  <c r="L184" i="19" s="1"/>
  <c r="P185" i="19"/>
  <c r="O185" i="19"/>
  <c r="P182" i="19"/>
  <c r="N182" i="19"/>
  <c r="M182" i="19"/>
  <c r="L182" i="19"/>
  <c r="O182" i="19" s="1"/>
  <c r="J177" i="19"/>
  <c r="I176" i="19"/>
  <c r="I174" i="19" s="1"/>
  <c r="K174" i="19" s="1"/>
  <c r="J174" i="19"/>
  <c r="J164" i="19" s="1"/>
  <c r="N173" i="19"/>
  <c r="N171" i="19" s="1"/>
  <c r="M173" i="19"/>
  <c r="P173" i="19" s="1"/>
  <c r="L173" i="19"/>
  <c r="O173" i="19" s="1"/>
  <c r="P172" i="19"/>
  <c r="O172" i="19"/>
  <c r="N170" i="19"/>
  <c r="M170" i="19"/>
  <c r="M168" i="19" s="1"/>
  <c r="L170" i="19"/>
  <c r="P169" i="19"/>
  <c r="O169" i="19"/>
  <c r="P166" i="19"/>
  <c r="O166" i="19"/>
  <c r="N166" i="19"/>
  <c r="M166" i="19"/>
  <c r="L166" i="19"/>
  <c r="I159" i="19"/>
  <c r="K159" i="19" s="1"/>
  <c r="N157" i="19"/>
  <c r="N155" i="19" s="1"/>
  <c r="M157" i="19"/>
  <c r="P157" i="19" s="1"/>
  <c r="L157" i="19"/>
  <c r="L155" i="19" s="1"/>
  <c r="O155" i="19" s="1"/>
  <c r="P156" i="19"/>
  <c r="O156" i="19"/>
  <c r="N154" i="19"/>
  <c r="M154" i="19"/>
  <c r="P154" i="19" s="1"/>
  <c r="L154" i="19"/>
  <c r="O154" i="19" s="1"/>
  <c r="P153" i="19"/>
  <c r="O153" i="19"/>
  <c r="N150" i="19"/>
  <c r="M150" i="19"/>
  <c r="L150" i="19"/>
  <c r="O150" i="19" s="1"/>
  <c r="J148" i="19"/>
  <c r="I146" i="19"/>
  <c r="K146" i="19" s="1"/>
  <c r="I145" i="19"/>
  <c r="I144" i="19"/>
  <c r="K144" i="19" s="1"/>
  <c r="N140" i="19"/>
  <c r="N138" i="19" s="1"/>
  <c r="M140" i="19"/>
  <c r="M138" i="19" s="1"/>
  <c r="P138" i="19" s="1"/>
  <c r="L140" i="19"/>
  <c r="O140" i="19" s="1"/>
  <c r="P139" i="19"/>
  <c r="O139" i="19"/>
  <c r="N137" i="19"/>
  <c r="M137" i="19"/>
  <c r="P137" i="19" s="1"/>
  <c r="L137" i="19"/>
  <c r="L135" i="19" s="1"/>
  <c r="O135" i="19" s="1"/>
  <c r="P136" i="19"/>
  <c r="O136" i="19"/>
  <c r="P133" i="19"/>
  <c r="O133" i="19"/>
  <c r="N133" i="19"/>
  <c r="M133" i="19"/>
  <c r="L133" i="19"/>
  <c r="J130" i="19"/>
  <c r="N127" i="19"/>
  <c r="M127" i="19"/>
  <c r="L127" i="19"/>
  <c r="L125" i="19" s="1"/>
  <c r="O125" i="19" s="1"/>
  <c r="P126" i="19"/>
  <c r="O126" i="19"/>
  <c r="N124" i="19"/>
  <c r="N122" i="19" s="1"/>
  <c r="M124" i="19"/>
  <c r="M122" i="19" s="1"/>
  <c r="P122" i="19" s="1"/>
  <c r="L124" i="19"/>
  <c r="L122" i="19" s="1"/>
  <c r="O122" i="19" s="1"/>
  <c r="P123" i="19"/>
  <c r="O123" i="19"/>
  <c r="O120" i="19"/>
  <c r="N120" i="19"/>
  <c r="M120" i="19"/>
  <c r="P120" i="19" s="1"/>
  <c r="L120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J99" i="19"/>
  <c r="J87" i="19" s="1"/>
  <c r="I99" i="19"/>
  <c r="I87" i="19" s="1"/>
  <c r="J98" i="19"/>
  <c r="I98" i="19"/>
  <c r="I86" i="19" s="1"/>
  <c r="N96" i="19"/>
  <c r="N94" i="19" s="1"/>
  <c r="M96" i="19"/>
  <c r="P96" i="19" s="1"/>
  <c r="L96" i="19"/>
  <c r="L94" i="19" s="1"/>
  <c r="O94" i="19" s="1"/>
  <c r="P95" i="19"/>
  <c r="O95" i="19"/>
  <c r="N93" i="19"/>
  <c r="N91" i="19" s="1"/>
  <c r="M93" i="19"/>
  <c r="L93" i="19"/>
  <c r="L91" i="19" s="1"/>
  <c r="P92" i="19"/>
  <c r="O92" i="19"/>
  <c r="O89" i="19"/>
  <c r="N89" i="19"/>
  <c r="M89" i="19"/>
  <c r="P89" i="19" s="1"/>
  <c r="L89" i="19"/>
  <c r="I84" i="19"/>
  <c r="K84" i="19" s="1"/>
  <c r="I83" i="19"/>
  <c r="K83" i="19" s="1"/>
  <c r="I82" i="19"/>
  <c r="K82" i="19" s="1"/>
  <c r="I81" i="19"/>
  <c r="I80" i="19"/>
  <c r="K80" i="19" s="1"/>
  <c r="I79" i="19"/>
  <c r="K79" i="19" s="1"/>
  <c r="I78" i="19"/>
  <c r="K78" i="19" s="1"/>
  <c r="J77" i="19"/>
  <c r="J76" i="19"/>
  <c r="N74" i="19"/>
  <c r="N72" i="19" s="1"/>
  <c r="M74" i="19"/>
  <c r="P74" i="19" s="1"/>
  <c r="L74" i="19"/>
  <c r="O74" i="19" s="1"/>
  <c r="P73" i="19"/>
  <c r="O73" i="19"/>
  <c r="N71" i="19"/>
  <c r="N69" i="19" s="1"/>
  <c r="M71" i="19"/>
  <c r="M69" i="19" s="1"/>
  <c r="L71" i="19"/>
  <c r="L69" i="19" s="1"/>
  <c r="P70" i="19"/>
  <c r="O70" i="19"/>
  <c r="N67" i="19"/>
  <c r="M67" i="19"/>
  <c r="P67" i="19" s="1"/>
  <c r="L67" i="19"/>
  <c r="O67" i="19" s="1"/>
  <c r="J65" i="19"/>
  <c r="J64" i="19"/>
  <c r="N61" i="19"/>
  <c r="N59" i="19" s="1"/>
  <c r="M61" i="19"/>
  <c r="M59" i="19" s="1"/>
  <c r="P59" i="19" s="1"/>
  <c r="L61" i="19"/>
  <c r="O61" i="19" s="1"/>
  <c r="P60" i="19"/>
  <c r="O60" i="19"/>
  <c r="N58" i="19"/>
  <c r="M58" i="19"/>
  <c r="M56" i="19" s="1"/>
  <c r="L58" i="19"/>
  <c r="P57" i="19"/>
  <c r="O57" i="19"/>
  <c r="O54" i="19"/>
  <c r="N54" i="19"/>
  <c r="M54" i="19"/>
  <c r="P54" i="19" s="1"/>
  <c r="L54" i="19"/>
  <c r="N49" i="19"/>
  <c r="N47" i="19" s="1"/>
  <c r="M49" i="19"/>
  <c r="P49" i="19" s="1"/>
  <c r="L49" i="19"/>
  <c r="O49" i="19" s="1"/>
  <c r="P48" i="19"/>
  <c r="O48" i="19"/>
  <c r="N46" i="19"/>
  <c r="N44" i="19" s="1"/>
  <c r="M46" i="19"/>
  <c r="M44" i="19" s="1"/>
  <c r="L46" i="19"/>
  <c r="P45" i="19"/>
  <c r="O45" i="19"/>
  <c r="N42" i="19"/>
  <c r="M42" i="19"/>
  <c r="P42" i="19" s="1"/>
  <c r="L42" i="19"/>
  <c r="O42" i="19" s="1"/>
  <c r="N36" i="19"/>
  <c r="M36" i="19"/>
  <c r="P36" i="19" s="1"/>
  <c r="P35" i="19"/>
  <c r="N35" i="19"/>
  <c r="M35" i="19"/>
  <c r="L35" i="19"/>
  <c r="O35" i="19" s="1"/>
  <c r="N34" i="19"/>
  <c r="N33" i="19"/>
  <c r="O32" i="19"/>
  <c r="N32" i="19"/>
  <c r="M32" i="19"/>
  <c r="L32" i="19"/>
  <c r="N31" i="19"/>
  <c r="N30" i="19"/>
  <c r="N28" i="19" s="1"/>
  <c r="N29" i="19"/>
  <c r="L29" i="19"/>
  <c r="O29" i="19" s="1"/>
  <c r="O25" i="19"/>
  <c r="N25" i="19"/>
  <c r="M25" i="19"/>
  <c r="L25" i="19"/>
  <c r="P22" i="19"/>
  <c r="N22" i="19"/>
  <c r="N19" i="19" s="1"/>
  <c r="M22" i="19"/>
  <c r="L22" i="19"/>
  <c r="O22" i="19" s="1"/>
  <c r="L19" i="19"/>
  <c r="O19" i="19" s="1"/>
  <c r="P15" i="19"/>
  <c r="N15" i="19"/>
  <c r="M15" i="19"/>
  <c r="L15" i="19"/>
  <c r="O15" i="19" s="1"/>
  <c r="L12" i="19"/>
  <c r="O12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N807" i="18" s="1"/>
  <c r="N805" i="18" s="1"/>
  <c r="P809" i="18"/>
  <c r="O809" i="18"/>
  <c r="O808" i="18"/>
  <c r="N808" i="18"/>
  <c r="M808" i="18"/>
  <c r="P808" i="18" s="1"/>
  <c r="L808" i="18"/>
  <c r="M807" i="18"/>
  <c r="P807" i="18" s="1"/>
  <c r="L807" i="18"/>
  <c r="O807" i="18" s="1"/>
  <c r="N806" i="18"/>
  <c r="M806" i="18"/>
  <c r="P806" i="18" s="1"/>
  <c r="L806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N796" i="18"/>
  <c r="M796" i="18"/>
  <c r="P796" i="18" s="1"/>
  <c r="L796" i="18"/>
  <c r="O796" i="18" s="1"/>
  <c r="N791" i="18"/>
  <c r="N789" i="18" s="1"/>
  <c r="L791" i="18"/>
  <c r="O791" i="18" s="1"/>
  <c r="P790" i="18"/>
  <c r="O790" i="18"/>
  <c r="N788" i="18"/>
  <c r="P787" i="18"/>
  <c r="O787" i="18"/>
  <c r="N787" i="18"/>
  <c r="M787" i="18"/>
  <c r="L787" i="18"/>
  <c r="N786" i="18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P774" i="18"/>
  <c r="O774" i="18"/>
  <c r="M773" i="18"/>
  <c r="P773" i="18" s="1"/>
  <c r="L773" i="18"/>
  <c r="O773" i="18" s="1"/>
  <c r="M772" i="18"/>
  <c r="P772" i="18" s="1"/>
  <c r="L772" i="18"/>
  <c r="O772" i="18" s="1"/>
  <c r="P771" i="18"/>
  <c r="N771" i="18"/>
  <c r="M771" i="18"/>
  <c r="L771" i="18"/>
  <c r="O771" i="18" s="1"/>
  <c r="P770" i="18"/>
  <c r="M770" i="18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P758" i="18"/>
  <c r="O758" i="18"/>
  <c r="M757" i="18"/>
  <c r="P757" i="18" s="1"/>
  <c r="L757" i="18"/>
  <c r="O757" i="18" s="1"/>
  <c r="M756" i="18"/>
  <c r="P756" i="18" s="1"/>
  <c r="L756" i="18"/>
  <c r="O756" i="18" s="1"/>
  <c r="P755" i="18"/>
  <c r="N755" i="18"/>
  <c r="M755" i="18"/>
  <c r="L755" i="18"/>
  <c r="O755" i="18" s="1"/>
  <c r="P754" i="18"/>
  <c r="M754" i="18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P741" i="18"/>
  <c r="O741" i="18"/>
  <c r="M740" i="18"/>
  <c r="P740" i="18" s="1"/>
  <c r="L740" i="18"/>
  <c r="O740" i="18" s="1"/>
  <c r="M739" i="18"/>
  <c r="P739" i="18" s="1"/>
  <c r="L739" i="18"/>
  <c r="O739" i="18" s="1"/>
  <c r="P738" i="18"/>
  <c r="N738" i="18"/>
  <c r="M738" i="18"/>
  <c r="L738" i="18"/>
  <c r="O738" i="18" s="1"/>
  <c r="P737" i="18"/>
  <c r="M737" i="18"/>
  <c r="K736" i="18"/>
  <c r="J736" i="18"/>
  <c r="J729" i="18"/>
  <c r="I729" i="18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P695" i="18"/>
  <c r="O695" i="18"/>
  <c r="N695" i="18"/>
  <c r="M695" i="18"/>
  <c r="L695" i="18"/>
  <c r="N690" i="18"/>
  <c r="L690" i="18"/>
  <c r="P686" i="18"/>
  <c r="N686" i="18"/>
  <c r="M686" i="18"/>
  <c r="L686" i="18"/>
  <c r="O686" i="18" s="1"/>
  <c r="J679" i="18"/>
  <c r="J678" i="18"/>
  <c r="I678" i="18"/>
  <c r="K678" i="18" s="1"/>
  <c r="J675" i="18"/>
  <c r="I671" i="18"/>
  <c r="K671" i="18" s="1"/>
  <c r="I670" i="18"/>
  <c r="K670" i="18" s="1"/>
  <c r="J669" i="18"/>
  <c r="J654" i="18" s="1"/>
  <c r="I669" i="18"/>
  <c r="P667" i="18"/>
  <c r="O667" i="18"/>
  <c r="P666" i="18"/>
  <c r="O666" i="18"/>
  <c r="P665" i="18"/>
  <c r="N665" i="18"/>
  <c r="M665" i="18"/>
  <c r="L665" i="18"/>
  <c r="O665" i="18" s="1"/>
  <c r="N660" i="18"/>
  <c r="L660" i="18"/>
  <c r="M660" i="18" s="1"/>
  <c r="M658" i="18" s="1"/>
  <c r="P658" i="18" s="1"/>
  <c r="P659" i="18"/>
  <c r="O659" i="18"/>
  <c r="N658" i="18"/>
  <c r="N657" i="18"/>
  <c r="P656" i="18"/>
  <c r="O656" i="18"/>
  <c r="N656" i="18"/>
  <c r="M656" i="18"/>
  <c r="L656" i="18"/>
  <c r="N655" i="18"/>
  <c r="K652" i="18"/>
  <c r="J652" i="18"/>
  <c r="J651" i="18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L639" i="18" s="1"/>
  <c r="O639" i="18" s="1"/>
  <c r="P640" i="18"/>
  <c r="O640" i="18"/>
  <c r="N639" i="18"/>
  <c r="M639" i="18"/>
  <c r="P639" i="18" s="1"/>
  <c r="N634" i="18"/>
  <c r="L634" i="18"/>
  <c r="L632" i="18" s="1"/>
  <c r="O632" i="18" s="1"/>
  <c r="P633" i="18"/>
  <c r="O633" i="18"/>
  <c r="N632" i="18"/>
  <c r="N631" i="18"/>
  <c r="N630" i="18"/>
  <c r="M630" i="18"/>
  <c r="P630" i="18" s="1"/>
  <c r="L630" i="18"/>
  <c r="N629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J593" i="18" s="1"/>
  <c r="J592" i="18" s="1"/>
  <c r="I594" i="18"/>
  <c r="I593" i="18"/>
  <c r="J583" i="18"/>
  <c r="J582" i="18"/>
  <c r="J577" i="18"/>
  <c r="I577" i="18"/>
  <c r="K577" i="18" s="1"/>
  <c r="J576" i="18"/>
  <c r="I576" i="18"/>
  <c r="I559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J559" i="18"/>
  <c r="J543" i="18" s="1"/>
  <c r="P557" i="18"/>
  <c r="L557" i="18"/>
  <c r="P556" i="18"/>
  <c r="O556" i="18"/>
  <c r="N555" i="18"/>
  <c r="M555" i="18"/>
  <c r="P555" i="18" s="1"/>
  <c r="N549" i="18"/>
  <c r="N547" i="18" s="1"/>
  <c r="L549" i="18"/>
  <c r="M549" i="18" s="1"/>
  <c r="P549" i="18" s="1"/>
  <c r="P548" i="18"/>
  <c r="O548" i="18"/>
  <c r="N546" i="18"/>
  <c r="P545" i="18"/>
  <c r="O545" i="18"/>
  <c r="N545" i="18"/>
  <c r="M545" i="18"/>
  <c r="L545" i="18"/>
  <c r="N544" i="18"/>
  <c r="I542" i="18"/>
  <c r="K542" i="18" s="1"/>
  <c r="I541" i="18"/>
  <c r="K541" i="18" s="1"/>
  <c r="I540" i="18"/>
  <c r="K540" i="18" s="1"/>
  <c r="I539" i="18"/>
  <c r="K539" i="18" s="1"/>
  <c r="I538" i="18"/>
  <c r="I537" i="18"/>
  <c r="I522" i="18" s="1"/>
  <c r="K522" i="18" s="1"/>
  <c r="P535" i="18"/>
  <c r="L535" i="18"/>
  <c r="O535" i="18" s="1"/>
  <c r="P534" i="18"/>
  <c r="O534" i="18"/>
  <c r="P533" i="18"/>
  <c r="N533" i="18"/>
  <c r="M533" i="18"/>
  <c r="P528" i="18"/>
  <c r="N528" i="18"/>
  <c r="L528" i="18"/>
  <c r="L526" i="18" s="1"/>
  <c r="O526" i="18" s="1"/>
  <c r="P527" i="18"/>
  <c r="O527" i="18"/>
  <c r="P526" i="18"/>
  <c r="N526" i="18"/>
  <c r="M526" i="18"/>
  <c r="N525" i="18"/>
  <c r="M525" i="18"/>
  <c r="P525" i="18" s="1"/>
  <c r="N524" i="18"/>
  <c r="N523" i="18" s="1"/>
  <c r="M524" i="18"/>
  <c r="P524" i="18" s="1"/>
  <c r="L524" i="18"/>
  <c r="O524" i="18" s="1"/>
  <c r="M523" i="18"/>
  <c r="P523" i="18" s="1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N504" i="18" s="1"/>
  <c r="N502" i="18" s="1"/>
  <c r="P506" i="18"/>
  <c r="O506" i="18"/>
  <c r="N505" i="18"/>
  <c r="M505" i="18"/>
  <c r="P505" i="18" s="1"/>
  <c r="L505" i="18"/>
  <c r="O505" i="18" s="1"/>
  <c r="M504" i="18"/>
  <c r="L504" i="18"/>
  <c r="O504" i="18" s="1"/>
  <c r="N503" i="18"/>
  <c r="M503" i="18"/>
  <c r="P503" i="18" s="1"/>
  <c r="L503" i="18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N472" i="18"/>
  <c r="L472" i="18"/>
  <c r="M472" i="18" s="1"/>
  <c r="P471" i="18"/>
  <c r="O471" i="18"/>
  <c r="N468" i="18"/>
  <c r="M468" i="18"/>
  <c r="L468" i="18"/>
  <c r="O468" i="18" s="1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I460" i="18"/>
  <c r="I442" i="18" s="1"/>
  <c r="K442" i="18" s="1"/>
  <c r="K458" i="18"/>
  <c r="P456" i="18"/>
  <c r="L456" i="18"/>
  <c r="P455" i="18"/>
  <c r="O455" i="18"/>
  <c r="N454" i="18"/>
  <c r="M454" i="18"/>
  <c r="P454" i="18" s="1"/>
  <c r="N449" i="18"/>
  <c r="N447" i="18" s="1"/>
  <c r="L449" i="18"/>
  <c r="L446" i="18" s="1"/>
  <c r="P448" i="18"/>
  <c r="O448" i="18"/>
  <c r="N446" i="18"/>
  <c r="P445" i="18"/>
  <c r="O445" i="18"/>
  <c r="N445" i="18"/>
  <c r="N444" i="18" s="1"/>
  <c r="M445" i="18"/>
  <c r="L445" i="18"/>
  <c r="J443" i="18"/>
  <c r="J442" i="18"/>
  <c r="I441" i="18"/>
  <c r="K441" i="18" s="1"/>
  <c r="I440" i="18"/>
  <c r="K440" i="18" s="1"/>
  <c r="I439" i="18"/>
  <c r="K439" i="18" s="1"/>
  <c r="I438" i="18"/>
  <c r="I437" i="18"/>
  <c r="I435" i="18"/>
  <c r="J434" i="18"/>
  <c r="J418" i="18" s="1"/>
  <c r="P431" i="18"/>
  <c r="L431" i="18"/>
  <c r="P430" i="18"/>
  <c r="O430" i="18"/>
  <c r="N429" i="18"/>
  <c r="M429" i="18"/>
  <c r="P429" i="18" s="1"/>
  <c r="N424" i="18"/>
  <c r="L424" i="18"/>
  <c r="L422" i="18" s="1"/>
  <c r="P423" i="18"/>
  <c r="O423" i="18"/>
  <c r="N422" i="18"/>
  <c r="N421" i="18"/>
  <c r="N420" i="18"/>
  <c r="M420" i="18"/>
  <c r="P420" i="18" s="1"/>
  <c r="L420" i="18"/>
  <c r="N419" i="18"/>
  <c r="K413" i="18"/>
  <c r="K412" i="18"/>
  <c r="N410" i="18"/>
  <c r="M410" i="18"/>
  <c r="L410" i="18"/>
  <c r="O410" i="18" s="1"/>
  <c r="P409" i="18"/>
  <c r="O409" i="18"/>
  <c r="N407" i="18"/>
  <c r="N405" i="18" s="1"/>
  <c r="M407" i="18"/>
  <c r="L407" i="18"/>
  <c r="P406" i="18"/>
  <c r="O406" i="18"/>
  <c r="P403" i="18"/>
  <c r="O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L397" i="18"/>
  <c r="L395" i="18" s="1"/>
  <c r="O395" i="18" s="1"/>
  <c r="P396" i="18"/>
  <c r="O396" i="18"/>
  <c r="N394" i="18"/>
  <c r="M394" i="18"/>
  <c r="M392" i="18" s="1"/>
  <c r="P392" i="18" s="1"/>
  <c r="L394" i="18"/>
  <c r="P393" i="18"/>
  <c r="O393" i="18"/>
  <c r="N390" i="18"/>
  <c r="M390" i="18"/>
  <c r="P390" i="18" s="1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M351" i="18" s="1"/>
  <c r="L353" i="18"/>
  <c r="P352" i="18"/>
  <c r="O352" i="18"/>
  <c r="N350" i="18"/>
  <c r="N348" i="18" s="1"/>
  <c r="M350" i="18"/>
  <c r="M348" i="18" s="1"/>
  <c r="L350" i="18"/>
  <c r="P349" i="18"/>
  <c r="O349" i="18"/>
  <c r="O346" i="18"/>
  <c r="N346" i="18"/>
  <c r="M346" i="18"/>
  <c r="P346" i="18" s="1"/>
  <c r="L346" i="18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P335" i="18"/>
  <c r="O335" i="18"/>
  <c r="N333" i="18"/>
  <c r="N331" i="18" s="1"/>
  <c r="M333" i="18"/>
  <c r="M331" i="18" s="1"/>
  <c r="L333" i="18"/>
  <c r="P332" i="18"/>
  <c r="O332" i="18"/>
  <c r="O329" i="18"/>
  <c r="N329" i="18"/>
  <c r="M329" i="18"/>
  <c r="L329" i="18"/>
  <c r="I327" i="18"/>
  <c r="I325" i="18"/>
  <c r="I314" i="18" s="1"/>
  <c r="K314" i="18" s="1"/>
  <c r="N323" i="18"/>
  <c r="N321" i="18" s="1"/>
  <c r="M323" i="18"/>
  <c r="P323" i="18" s="1"/>
  <c r="L323" i="18"/>
  <c r="P322" i="18"/>
  <c r="O322" i="18"/>
  <c r="N320" i="18"/>
  <c r="N318" i="18" s="1"/>
  <c r="M320" i="18"/>
  <c r="P320" i="18" s="1"/>
  <c r="L320" i="18"/>
  <c r="P319" i="18"/>
  <c r="O319" i="18"/>
  <c r="P316" i="18"/>
  <c r="O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L306" i="18"/>
  <c r="P305" i="18"/>
  <c r="O305" i="18"/>
  <c r="N303" i="18"/>
  <c r="N301" i="18" s="1"/>
  <c r="M303" i="18"/>
  <c r="P303" i="18" s="1"/>
  <c r="L303" i="18"/>
  <c r="L301" i="18" s="1"/>
  <c r="O301" i="18" s="1"/>
  <c r="P302" i="18"/>
  <c r="O302" i="18"/>
  <c r="N299" i="18"/>
  <c r="M299" i="18"/>
  <c r="P299" i="18" s="1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K287" i="18" s="1"/>
  <c r="N285" i="18"/>
  <c r="M285" i="18"/>
  <c r="M283" i="18" s="1"/>
  <c r="P283" i="18" s="1"/>
  <c r="L285" i="18"/>
  <c r="L283" i="18" s="1"/>
  <c r="O283" i="18" s="1"/>
  <c r="P284" i="18"/>
  <c r="O284" i="18"/>
  <c r="N282" i="18"/>
  <c r="N280" i="18" s="1"/>
  <c r="M282" i="18"/>
  <c r="L282" i="18"/>
  <c r="L280" i="18" s="1"/>
  <c r="P281" i="18"/>
  <c r="O281" i="18"/>
  <c r="N278" i="18"/>
  <c r="M278" i="18"/>
  <c r="P278" i="18" s="1"/>
  <c r="L278" i="18"/>
  <c r="O278" i="18" s="1"/>
  <c r="J276" i="18"/>
  <c r="I271" i="18"/>
  <c r="K271" i="18" s="1"/>
  <c r="N269" i="18"/>
  <c r="N267" i="18" s="1"/>
  <c r="M269" i="18"/>
  <c r="P269" i="18" s="1"/>
  <c r="L269" i="18"/>
  <c r="P268" i="18"/>
  <c r="O268" i="18"/>
  <c r="N266" i="18"/>
  <c r="N264" i="18" s="1"/>
  <c r="M266" i="18"/>
  <c r="L266" i="18"/>
  <c r="L264" i="18" s="1"/>
  <c r="P265" i="18"/>
  <c r="O265" i="18"/>
  <c r="P262" i="18"/>
  <c r="N262" i="18"/>
  <c r="M262" i="18"/>
  <c r="L262" i="18"/>
  <c r="O262" i="18" s="1"/>
  <c r="J260" i="18"/>
  <c r="K258" i="18"/>
  <c r="K257" i="18"/>
  <c r="I255" i="18"/>
  <c r="I248" i="18" s="1"/>
  <c r="K248" i="18" s="1"/>
  <c r="L253" i="18"/>
  <c r="L252" i="18"/>
  <c r="L251" i="18"/>
  <c r="L250" i="18"/>
  <c r="P249" i="18"/>
  <c r="N249" i="18"/>
  <c r="J248" i="18"/>
  <c r="K247" i="18"/>
  <c r="K246" i="18"/>
  <c r="I244" i="18"/>
  <c r="K244" i="18" s="1"/>
  <c r="L242" i="18"/>
  <c r="L241" i="18"/>
  <c r="L240" i="18"/>
  <c r="L239" i="18"/>
  <c r="P238" i="18"/>
  <c r="N238" i="18"/>
  <c r="N227" i="18" s="1"/>
  <c r="J237" i="18"/>
  <c r="J236" i="18"/>
  <c r="I236" i="18"/>
  <c r="K236" i="18" s="1"/>
  <c r="J235" i="18"/>
  <c r="I235" i="18"/>
  <c r="K235" i="18" s="1"/>
  <c r="J233" i="18"/>
  <c r="N231" i="18"/>
  <c r="N230" i="18"/>
  <c r="N229" i="18"/>
  <c r="N228" i="18"/>
  <c r="J226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I214" i="18"/>
  <c r="K214" i="18" s="1"/>
  <c r="L212" i="18"/>
  <c r="L211" i="18"/>
  <c r="L210" i="18"/>
  <c r="P209" i="18"/>
  <c r="N209" i="18"/>
  <c r="J208" i="18"/>
  <c r="K207" i="18"/>
  <c r="K206" i="18"/>
  <c r="I204" i="18"/>
  <c r="L202" i="18"/>
  <c r="L201" i="18"/>
  <c r="L200" i="18"/>
  <c r="L199" i="18"/>
  <c r="P198" i="18"/>
  <c r="N198" i="18"/>
  <c r="J197" i="18"/>
  <c r="J194" i="18"/>
  <c r="I193" i="18"/>
  <c r="I190" i="18" s="1"/>
  <c r="P191" i="18"/>
  <c r="L191" i="18"/>
  <c r="O191" i="18" s="1"/>
  <c r="J190" i="18"/>
  <c r="N189" i="18"/>
  <c r="N187" i="18" s="1"/>
  <c r="M189" i="18"/>
  <c r="P189" i="18" s="1"/>
  <c r="L189" i="18"/>
  <c r="P188" i="18"/>
  <c r="O188" i="18"/>
  <c r="N186" i="18"/>
  <c r="M186" i="18"/>
  <c r="M184" i="18" s="1"/>
  <c r="L186" i="18"/>
  <c r="L184" i="18" s="1"/>
  <c r="P185" i="18"/>
  <c r="O185" i="18"/>
  <c r="P182" i="18"/>
  <c r="O182" i="18"/>
  <c r="N182" i="18"/>
  <c r="M182" i="18"/>
  <c r="L182" i="18"/>
  <c r="J180" i="18"/>
  <c r="J177" i="18"/>
  <c r="I176" i="18"/>
  <c r="J174" i="18"/>
  <c r="N173" i="18"/>
  <c r="N171" i="18" s="1"/>
  <c r="M173" i="18"/>
  <c r="P173" i="18" s="1"/>
  <c r="L173" i="18"/>
  <c r="L171" i="18" s="1"/>
  <c r="O171" i="18" s="1"/>
  <c r="P172" i="18"/>
  <c r="O172" i="18"/>
  <c r="N170" i="18"/>
  <c r="M170" i="18"/>
  <c r="L170" i="18"/>
  <c r="P169" i="18"/>
  <c r="O169" i="18"/>
  <c r="P166" i="18"/>
  <c r="O166" i="18"/>
  <c r="N166" i="18"/>
  <c r="M166" i="18"/>
  <c r="L166" i="18"/>
  <c r="J164" i="18"/>
  <c r="I159" i="18"/>
  <c r="I148" i="18" s="1"/>
  <c r="K148" i="18" s="1"/>
  <c r="N157" i="18"/>
  <c r="N155" i="18" s="1"/>
  <c r="M157" i="18"/>
  <c r="P157" i="18" s="1"/>
  <c r="L157" i="18"/>
  <c r="O157" i="18" s="1"/>
  <c r="P156" i="18"/>
  <c r="O156" i="18"/>
  <c r="N154" i="18"/>
  <c r="N152" i="18" s="1"/>
  <c r="M154" i="18"/>
  <c r="L154" i="18"/>
  <c r="P153" i="18"/>
  <c r="O153" i="18"/>
  <c r="P150" i="18"/>
  <c r="N150" i="18"/>
  <c r="M150" i="18"/>
  <c r="L150" i="18"/>
  <c r="O150" i="18" s="1"/>
  <c r="J148" i="18"/>
  <c r="I146" i="18"/>
  <c r="K146" i="18" s="1"/>
  <c r="I145" i="18"/>
  <c r="I143" i="18" s="1"/>
  <c r="K143" i="18" s="1"/>
  <c r="I144" i="18"/>
  <c r="K144" i="18" s="1"/>
  <c r="N140" i="18"/>
  <c r="N138" i="18" s="1"/>
  <c r="M140" i="18"/>
  <c r="L140" i="18"/>
  <c r="O140" i="18" s="1"/>
  <c r="P139" i="18"/>
  <c r="O139" i="18"/>
  <c r="N137" i="18"/>
  <c r="M137" i="18"/>
  <c r="M135" i="18" s="1"/>
  <c r="P135" i="18" s="1"/>
  <c r="L137" i="18"/>
  <c r="P136" i="18"/>
  <c r="O136" i="18"/>
  <c r="P133" i="18"/>
  <c r="O133" i="18"/>
  <c r="N133" i="18"/>
  <c r="M133" i="18"/>
  <c r="L133" i="18"/>
  <c r="J130" i="18"/>
  <c r="N127" i="18"/>
  <c r="N125" i="18" s="1"/>
  <c r="M127" i="18"/>
  <c r="M125" i="18" s="1"/>
  <c r="L127" i="18"/>
  <c r="L125" i="18" s="1"/>
  <c r="P126" i="18"/>
  <c r="O126" i="18"/>
  <c r="N124" i="18"/>
  <c r="M124" i="18"/>
  <c r="M122" i="18" s="1"/>
  <c r="P122" i="18" s="1"/>
  <c r="L124" i="18"/>
  <c r="O124" i="18" s="1"/>
  <c r="P123" i="18"/>
  <c r="O123" i="18"/>
  <c r="P120" i="18"/>
  <c r="N120" i="18"/>
  <c r="M120" i="18"/>
  <c r="L120" i="18"/>
  <c r="O120" i="18" s="1"/>
  <c r="J118" i="18"/>
  <c r="K118" i="18" s="1"/>
  <c r="I116" i="18"/>
  <c r="K116" i="18" s="1"/>
  <c r="I115" i="18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K99" i="18" s="1"/>
  <c r="J98" i="18"/>
  <c r="I98" i="18"/>
  <c r="I86" i="18" s="1"/>
  <c r="N96" i="18"/>
  <c r="N94" i="18" s="1"/>
  <c r="M96" i="18"/>
  <c r="P96" i="18" s="1"/>
  <c r="L96" i="18"/>
  <c r="O96" i="18" s="1"/>
  <c r="P95" i="18"/>
  <c r="O95" i="18"/>
  <c r="N93" i="18"/>
  <c r="N91" i="18" s="1"/>
  <c r="M93" i="18"/>
  <c r="M91" i="18" s="1"/>
  <c r="L93" i="18"/>
  <c r="P92" i="18"/>
  <c r="O92" i="18"/>
  <c r="P89" i="18"/>
  <c r="N89" i="18"/>
  <c r="M89" i="18"/>
  <c r="L89" i="18"/>
  <c r="O89" i="18" s="1"/>
  <c r="J87" i="18"/>
  <c r="J86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J77" i="18"/>
  <c r="J76" i="18"/>
  <c r="J64" i="18" s="1"/>
  <c r="N74" i="18"/>
  <c r="N72" i="18" s="1"/>
  <c r="M74" i="18"/>
  <c r="L74" i="18"/>
  <c r="O74" i="18" s="1"/>
  <c r="P73" i="18"/>
  <c r="O73" i="18"/>
  <c r="N71" i="18"/>
  <c r="N69" i="18" s="1"/>
  <c r="M71" i="18"/>
  <c r="M69" i="18" s="1"/>
  <c r="L71" i="18"/>
  <c r="P70" i="18"/>
  <c r="O70" i="18"/>
  <c r="N67" i="18"/>
  <c r="M67" i="18"/>
  <c r="L67" i="18"/>
  <c r="O67" i="18" s="1"/>
  <c r="J65" i="18"/>
  <c r="N61" i="18"/>
  <c r="N59" i="18" s="1"/>
  <c r="M61" i="18"/>
  <c r="L61" i="18"/>
  <c r="L59" i="18" s="1"/>
  <c r="P60" i="18"/>
  <c r="O60" i="18"/>
  <c r="N58" i="18"/>
  <c r="N56" i="18" s="1"/>
  <c r="M58" i="18"/>
  <c r="L58" i="18"/>
  <c r="L56" i="18" s="1"/>
  <c r="P57" i="18"/>
  <c r="O57" i="18"/>
  <c r="P54" i="18"/>
  <c r="O54" i="18"/>
  <c r="N54" i="18"/>
  <c r="M54" i="18"/>
  <c r="L54" i="18"/>
  <c r="N49" i="18"/>
  <c r="M49" i="18"/>
  <c r="M47" i="18" s="1"/>
  <c r="P47" i="18" s="1"/>
  <c r="L49" i="18"/>
  <c r="O49" i="18" s="1"/>
  <c r="P48" i="18"/>
  <c r="O48" i="18"/>
  <c r="N46" i="18"/>
  <c r="N44" i="18" s="1"/>
  <c r="M46" i="18"/>
  <c r="L46" i="18"/>
  <c r="P45" i="18"/>
  <c r="O45" i="18"/>
  <c r="P42" i="18"/>
  <c r="O42" i="18"/>
  <c r="N42" i="18"/>
  <c r="M42" i="18"/>
  <c r="L42" i="18"/>
  <c r="N36" i="18"/>
  <c r="N34" i="18" s="1"/>
  <c r="M36" i="18"/>
  <c r="P36" i="18" s="1"/>
  <c r="N35" i="18"/>
  <c r="M35" i="18"/>
  <c r="M34" i="18" s="1"/>
  <c r="P34" i="18" s="1"/>
  <c r="L35" i="18"/>
  <c r="O35" i="18" s="1"/>
  <c r="N33" i="18"/>
  <c r="O32" i="18"/>
  <c r="N32" i="18"/>
  <c r="N29" i="18" s="1"/>
  <c r="M32" i="18"/>
  <c r="P32" i="18" s="1"/>
  <c r="L32" i="18"/>
  <c r="N31" i="18"/>
  <c r="N30" i="18"/>
  <c r="P25" i="18"/>
  <c r="O25" i="18"/>
  <c r="N25" i="18"/>
  <c r="N15" i="18" s="1"/>
  <c r="M25" i="18"/>
  <c r="L25" i="18"/>
  <c r="P22" i="18"/>
  <c r="N22" i="18"/>
  <c r="M22" i="18"/>
  <c r="L22" i="18"/>
  <c r="N19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N807" i="17" s="1"/>
  <c r="N805" i="17" s="1"/>
  <c r="P809" i="17"/>
  <c r="O809" i="17"/>
  <c r="P808" i="17"/>
  <c r="N808" i="17"/>
  <c r="M808" i="17"/>
  <c r="L808" i="17"/>
  <c r="O808" i="17" s="1"/>
  <c r="O807" i="17"/>
  <c r="M807" i="17"/>
  <c r="L807" i="17"/>
  <c r="P806" i="17"/>
  <c r="N806" i="17"/>
  <c r="M806" i="17"/>
  <c r="L806" i="17"/>
  <c r="K804" i="17"/>
  <c r="J804" i="17"/>
  <c r="K802" i="17"/>
  <c r="J801" i="17"/>
  <c r="J800" i="17"/>
  <c r="I800" i="17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L791" i="17"/>
  <c r="O791" i="17" s="1"/>
  <c r="P790" i="17"/>
  <c r="O790" i="17"/>
  <c r="P789" i="17"/>
  <c r="N789" i="17"/>
  <c r="M789" i="17"/>
  <c r="L789" i="17"/>
  <c r="O789" i="17" s="1"/>
  <c r="M788" i="17"/>
  <c r="P787" i="17"/>
  <c r="N787" i="17"/>
  <c r="N786" i="17" s="1"/>
  <c r="M787" i="17"/>
  <c r="L787" i="17"/>
  <c r="J785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N773" i="17" s="1"/>
  <c r="P774" i="17"/>
  <c r="O774" i="17"/>
  <c r="O773" i="17"/>
  <c r="M773" i="17"/>
  <c r="P773" i="17" s="1"/>
  <c r="L773" i="17"/>
  <c r="P772" i="17"/>
  <c r="N772" i="17"/>
  <c r="N770" i="17" s="1"/>
  <c r="M772" i="17"/>
  <c r="L772" i="17"/>
  <c r="O772" i="17" s="1"/>
  <c r="O771" i="17"/>
  <c r="N771" i="17"/>
  <c r="M771" i="17"/>
  <c r="L771" i="17"/>
  <c r="L770" i="17"/>
  <c r="O770" i="17" s="1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N757" i="17" s="1"/>
  <c r="P758" i="17"/>
  <c r="O758" i="17"/>
  <c r="O757" i="17"/>
  <c r="M757" i="17"/>
  <c r="P757" i="17" s="1"/>
  <c r="L757" i="17"/>
  <c r="P756" i="17"/>
  <c r="N756" i="17"/>
  <c r="N754" i="17" s="1"/>
  <c r="M756" i="17"/>
  <c r="L756" i="17"/>
  <c r="O756" i="17" s="1"/>
  <c r="O755" i="17"/>
  <c r="N755" i="17"/>
  <c r="M755" i="17"/>
  <c r="L755" i="17"/>
  <c r="L754" i="17"/>
  <c r="O754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N740" i="17" s="1"/>
  <c r="P741" i="17"/>
  <c r="O741" i="17"/>
  <c r="O740" i="17"/>
  <c r="M740" i="17"/>
  <c r="P740" i="17" s="1"/>
  <c r="L740" i="17"/>
  <c r="P739" i="17"/>
  <c r="N739" i="17"/>
  <c r="N737" i="17" s="1"/>
  <c r="M739" i="17"/>
  <c r="L739" i="17"/>
  <c r="O739" i="17" s="1"/>
  <c r="O738" i="17"/>
  <c r="N738" i="17"/>
  <c r="M738" i="17"/>
  <c r="L738" i="17"/>
  <c r="L737" i="17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K700" i="17" s="1"/>
  <c r="J699" i="17"/>
  <c r="I699" i="17"/>
  <c r="K699" i="17" s="1"/>
  <c r="P697" i="17"/>
  <c r="O697" i="17"/>
  <c r="P696" i="17"/>
  <c r="O696" i="17"/>
  <c r="O695" i="17"/>
  <c r="N695" i="17"/>
  <c r="M695" i="17"/>
  <c r="P695" i="17" s="1"/>
  <c r="L695" i="17"/>
  <c r="N690" i="17"/>
  <c r="N688" i="17" s="1"/>
  <c r="L690" i="17"/>
  <c r="O690" i="17" s="1"/>
  <c r="N687" i="17"/>
  <c r="N685" i="17" s="1"/>
  <c r="O686" i="17"/>
  <c r="N686" i="17"/>
  <c r="M686" i="17"/>
  <c r="L686" i="17"/>
  <c r="J679" i="17"/>
  <c r="J678" i="17"/>
  <c r="I678" i="17"/>
  <c r="K678" i="17" s="1"/>
  <c r="J675" i="17"/>
  <c r="J669" i="17" s="1"/>
  <c r="I671" i="17"/>
  <c r="K671" i="17" s="1"/>
  <c r="I670" i="17"/>
  <c r="K670" i="17" s="1"/>
  <c r="I669" i="17"/>
  <c r="K674" i="17" s="1"/>
  <c r="P667" i="17"/>
  <c r="O667" i="17"/>
  <c r="P666" i="17"/>
  <c r="O666" i="17"/>
  <c r="O665" i="17"/>
  <c r="N665" i="17"/>
  <c r="M665" i="17"/>
  <c r="P665" i="17" s="1"/>
  <c r="L665" i="17"/>
  <c r="N660" i="17"/>
  <c r="N658" i="17" s="1"/>
  <c r="L660" i="17"/>
  <c r="L657" i="17" s="1"/>
  <c r="P659" i="17"/>
  <c r="O659" i="17"/>
  <c r="N657" i="17"/>
  <c r="N655" i="17" s="1"/>
  <c r="O656" i="17"/>
  <c r="N656" i="17"/>
  <c r="M656" i="17"/>
  <c r="P656" i="17" s="1"/>
  <c r="L656" i="17"/>
  <c r="J654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L639" i="17"/>
  <c r="O639" i="17" s="1"/>
  <c r="N634" i="17"/>
  <c r="L634" i="17"/>
  <c r="O634" i="17" s="1"/>
  <c r="P633" i="17"/>
  <c r="O633" i="17"/>
  <c r="N632" i="17"/>
  <c r="N631" i="17"/>
  <c r="P630" i="17"/>
  <c r="N630" i="17"/>
  <c r="N629" i="17" s="1"/>
  <c r="M630" i="17"/>
  <c r="L630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3" i="17" s="1"/>
  <c r="J592" i="17" s="1"/>
  <c r="J594" i="17"/>
  <c r="I594" i="17"/>
  <c r="I593" i="17"/>
  <c r="I592" i="17" s="1"/>
  <c r="J583" i="17"/>
  <c r="J577" i="17" s="1"/>
  <c r="J582" i="17"/>
  <c r="I577" i="17"/>
  <c r="J576" i="17"/>
  <c r="J559" i="17" s="1"/>
  <c r="J543" i="17" s="1"/>
  <c r="I576" i="17"/>
  <c r="I559" i="17" s="1"/>
  <c r="I543" i="17" s="1"/>
  <c r="J569" i="17"/>
  <c r="I569" i="17"/>
  <c r="K569" i="17" s="1"/>
  <c r="J568" i="17"/>
  <c r="I568" i="17"/>
  <c r="J561" i="17"/>
  <c r="I561" i="17"/>
  <c r="K561" i="17" s="1"/>
  <c r="J560" i="17"/>
  <c r="I560" i="17"/>
  <c r="P557" i="17"/>
  <c r="L557" i="17"/>
  <c r="O557" i="17" s="1"/>
  <c r="P556" i="17"/>
  <c r="O556" i="17"/>
  <c r="P555" i="17"/>
  <c r="N555" i="17"/>
  <c r="N545" i="17" s="1"/>
  <c r="N544" i="17" s="1"/>
  <c r="M555" i="17"/>
  <c r="M545" i="17" s="1"/>
  <c r="L555" i="17"/>
  <c r="O555" i="17" s="1"/>
  <c r="N549" i="17"/>
  <c r="L549" i="17"/>
  <c r="M549" i="17" s="1"/>
  <c r="M546" i="17" s="1"/>
  <c r="P546" i="17" s="1"/>
  <c r="P548" i="17"/>
  <c r="O548" i="17"/>
  <c r="N547" i="17"/>
  <c r="N546" i="17"/>
  <c r="L545" i="17"/>
  <c r="I542" i="17"/>
  <c r="K542" i="17" s="1"/>
  <c r="I541" i="17"/>
  <c r="K541" i="17" s="1"/>
  <c r="I540" i="17"/>
  <c r="K540" i="17" s="1"/>
  <c r="I539" i="17"/>
  <c r="K539" i="17" s="1"/>
  <c r="I538" i="17"/>
  <c r="I537" i="17"/>
  <c r="P535" i="17"/>
  <c r="L535" i="17"/>
  <c r="P534" i="17"/>
  <c r="O534" i="17"/>
  <c r="N533" i="17"/>
  <c r="M533" i="17"/>
  <c r="P533" i="17" s="1"/>
  <c r="P528" i="17"/>
  <c r="N528" i="17"/>
  <c r="N525" i="17" s="1"/>
  <c r="L528" i="17"/>
  <c r="O528" i="17" s="1"/>
  <c r="P527" i="17"/>
  <c r="O527" i="17"/>
  <c r="P526" i="17"/>
  <c r="N526" i="17"/>
  <c r="M526" i="17"/>
  <c r="M525" i="17"/>
  <c r="P525" i="17" s="1"/>
  <c r="P524" i="17"/>
  <c r="N524" i="17"/>
  <c r="M524" i="17"/>
  <c r="L524" i="17"/>
  <c r="O524" i="17" s="1"/>
  <c r="K517" i="17"/>
  <c r="J517" i="17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N504" i="17" s="1"/>
  <c r="P506" i="17"/>
  <c r="O506" i="17"/>
  <c r="P505" i="17"/>
  <c r="N505" i="17"/>
  <c r="M505" i="17"/>
  <c r="L505" i="17"/>
  <c r="O505" i="17" s="1"/>
  <c r="O504" i="17"/>
  <c r="M504" i="17"/>
  <c r="P504" i="17" s="1"/>
  <c r="L504" i="17"/>
  <c r="P503" i="17"/>
  <c r="N503" i="17"/>
  <c r="N502" i="17" s="1"/>
  <c r="M503" i="17"/>
  <c r="L503" i="17"/>
  <c r="L502" i="17" s="1"/>
  <c r="O502" i="17" s="1"/>
  <c r="M502" i="17"/>
  <c r="P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N477" i="17"/>
  <c r="M477" i="17"/>
  <c r="P477" i="17" s="1"/>
  <c r="N472" i="17"/>
  <c r="L472" i="17"/>
  <c r="P471" i="17"/>
  <c r="O471" i="17"/>
  <c r="N470" i="17"/>
  <c r="N469" i="17"/>
  <c r="O468" i="17"/>
  <c r="N468" i="17"/>
  <c r="M468" i="17"/>
  <c r="L468" i="17"/>
  <c r="N467" i="17"/>
  <c r="J466" i="17"/>
  <c r="I466" i="17"/>
  <c r="J465" i="17"/>
  <c r="I465" i="17"/>
  <c r="K465" i="17" s="1"/>
  <c r="I464" i="17"/>
  <c r="K464" i="17" s="1"/>
  <c r="I463" i="17"/>
  <c r="K463" i="17" s="1"/>
  <c r="I462" i="17"/>
  <c r="K462" i="17" s="1"/>
  <c r="I460" i="17"/>
  <c r="K460" i="17" s="1"/>
  <c r="K458" i="17"/>
  <c r="P456" i="17"/>
  <c r="L456" i="17"/>
  <c r="O456" i="17" s="1"/>
  <c r="P455" i="17"/>
  <c r="O455" i="17"/>
  <c r="N454" i="17"/>
  <c r="M454" i="17"/>
  <c r="P454" i="17" s="1"/>
  <c r="N449" i="17"/>
  <c r="N447" i="17" s="1"/>
  <c r="L449" i="17"/>
  <c r="P448" i="17"/>
  <c r="O448" i="17"/>
  <c r="O445" i="17"/>
  <c r="N445" i="17"/>
  <c r="M445" i="17"/>
  <c r="L445" i="17"/>
  <c r="J443" i="17"/>
  <c r="J442" i="17"/>
  <c r="I441" i="17"/>
  <c r="K441" i="17" s="1"/>
  <c r="I440" i="17"/>
  <c r="K440" i="17" s="1"/>
  <c r="I439" i="17"/>
  <c r="K439" i="17" s="1"/>
  <c r="I438" i="17"/>
  <c r="I437" i="17"/>
  <c r="K437" i="17" s="1"/>
  <c r="I435" i="17"/>
  <c r="J434" i="17"/>
  <c r="P431" i="17"/>
  <c r="L431" i="17"/>
  <c r="O431" i="17" s="1"/>
  <c r="P430" i="17"/>
  <c r="O430" i="17"/>
  <c r="P429" i="17"/>
  <c r="N429" i="17"/>
  <c r="M429" i="17"/>
  <c r="L429" i="17"/>
  <c r="O429" i="17" s="1"/>
  <c r="N424" i="17"/>
  <c r="N421" i="17" s="1"/>
  <c r="L424" i="17"/>
  <c r="O424" i="17" s="1"/>
  <c r="P423" i="17"/>
  <c r="O423" i="17"/>
  <c r="N422" i="17"/>
  <c r="N420" i="17"/>
  <c r="M420" i="17"/>
  <c r="P420" i="17" s="1"/>
  <c r="L420" i="17"/>
  <c r="O420" i="17" s="1"/>
  <c r="J418" i="17"/>
  <c r="K413" i="17"/>
  <c r="K412" i="17"/>
  <c r="N410" i="17"/>
  <c r="N408" i="17" s="1"/>
  <c r="M410" i="17"/>
  <c r="P410" i="17" s="1"/>
  <c r="L410" i="17"/>
  <c r="O410" i="17" s="1"/>
  <c r="P409" i="17"/>
  <c r="O409" i="17"/>
  <c r="N407" i="17"/>
  <c r="M407" i="17"/>
  <c r="P407" i="17" s="1"/>
  <c r="L407" i="17"/>
  <c r="L405" i="17" s="1"/>
  <c r="O405" i="17" s="1"/>
  <c r="P406" i="17"/>
  <c r="O406" i="17"/>
  <c r="P403" i="17"/>
  <c r="N403" i="17"/>
  <c r="M403" i="17"/>
  <c r="L403" i="17"/>
  <c r="J401" i="17"/>
  <c r="I401" i="17"/>
  <c r="K401" i="17" s="1"/>
  <c r="K400" i="17"/>
  <c r="K399" i="17"/>
  <c r="N397" i="17"/>
  <c r="N395" i="17" s="1"/>
  <c r="M397" i="17"/>
  <c r="P397" i="17" s="1"/>
  <c r="L397" i="17"/>
  <c r="O397" i="17" s="1"/>
  <c r="P396" i="17"/>
  <c r="O396" i="17"/>
  <c r="N394" i="17"/>
  <c r="N392" i="17" s="1"/>
  <c r="M394" i="17"/>
  <c r="P394" i="17" s="1"/>
  <c r="L394" i="17"/>
  <c r="L392" i="17" s="1"/>
  <c r="O392" i="17" s="1"/>
  <c r="P393" i="17"/>
  <c r="O393" i="17"/>
  <c r="P390" i="17"/>
  <c r="N390" i="17"/>
  <c r="M390" i="17"/>
  <c r="L390" i="17"/>
  <c r="O390" i="17" s="1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M353" i="17"/>
  <c r="M351" i="17" s="1"/>
  <c r="L353" i="17"/>
  <c r="L351" i="17" s="1"/>
  <c r="P352" i="17"/>
  <c r="O352" i="17"/>
  <c r="N350" i="17"/>
  <c r="M350" i="17"/>
  <c r="L350" i="17"/>
  <c r="P349" i="17"/>
  <c r="O349" i="17"/>
  <c r="N346" i="17"/>
  <c r="M346" i="17"/>
  <c r="L346" i="17"/>
  <c r="O346" i="17" s="1"/>
  <c r="J343" i="17"/>
  <c r="J342" i="17"/>
  <c r="J341" i="17"/>
  <c r="J340" i="17"/>
  <c r="I340" i="17"/>
  <c r="J338" i="17"/>
  <c r="I338" i="17"/>
  <c r="N336" i="17"/>
  <c r="N334" i="17" s="1"/>
  <c r="M336" i="17"/>
  <c r="L336" i="17"/>
  <c r="L334" i="17" s="1"/>
  <c r="O334" i="17" s="1"/>
  <c r="P335" i="17"/>
  <c r="O335" i="17"/>
  <c r="N333" i="17"/>
  <c r="M333" i="17"/>
  <c r="L333" i="17"/>
  <c r="P332" i="17"/>
  <c r="O332" i="17"/>
  <c r="P329" i="17"/>
  <c r="N329" i="17"/>
  <c r="M329" i="17"/>
  <c r="L329" i="17"/>
  <c r="I327" i="17"/>
  <c r="I325" i="17"/>
  <c r="K325" i="17" s="1"/>
  <c r="N323" i="17"/>
  <c r="M323" i="17"/>
  <c r="P323" i="17" s="1"/>
  <c r="L323" i="17"/>
  <c r="L321" i="17" s="1"/>
  <c r="O321" i="17" s="1"/>
  <c r="P322" i="17"/>
  <c r="O322" i="17"/>
  <c r="N320" i="17"/>
  <c r="N318" i="17" s="1"/>
  <c r="M320" i="17"/>
  <c r="P320" i="17" s="1"/>
  <c r="L320" i="17"/>
  <c r="P319" i="17"/>
  <c r="O319" i="17"/>
  <c r="P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O306" i="17" s="1"/>
  <c r="P305" i="17"/>
  <c r="O305" i="17"/>
  <c r="N303" i="17"/>
  <c r="M303" i="17"/>
  <c r="P303" i="17" s="1"/>
  <c r="L303" i="17"/>
  <c r="P302" i="17"/>
  <c r="O302" i="17"/>
  <c r="P299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K288" i="17" s="1"/>
  <c r="I287" i="17"/>
  <c r="I276" i="17" s="1"/>
  <c r="N285" i="17"/>
  <c r="N283" i="17" s="1"/>
  <c r="M285" i="17"/>
  <c r="P285" i="17" s="1"/>
  <c r="L285" i="17"/>
  <c r="P284" i="17"/>
  <c r="O284" i="17"/>
  <c r="N282" i="17"/>
  <c r="M282" i="17"/>
  <c r="M280" i="17" s="1"/>
  <c r="L282" i="17"/>
  <c r="P281" i="17"/>
  <c r="O281" i="17"/>
  <c r="O278" i="17"/>
  <c r="N278" i="17"/>
  <c r="M278" i="17"/>
  <c r="P278" i="17" s="1"/>
  <c r="L278" i="17"/>
  <c r="J276" i="17"/>
  <c r="I271" i="17"/>
  <c r="K271" i="17" s="1"/>
  <c r="N269" i="17"/>
  <c r="N267" i="17" s="1"/>
  <c r="M269" i="17"/>
  <c r="P269" i="17" s="1"/>
  <c r="L269" i="17"/>
  <c r="P268" i="17"/>
  <c r="O268" i="17"/>
  <c r="N266" i="17"/>
  <c r="M266" i="17"/>
  <c r="L266" i="17"/>
  <c r="L264" i="17" s="1"/>
  <c r="P265" i="17"/>
  <c r="O265" i="17"/>
  <c r="P262" i="17"/>
  <c r="N262" i="17"/>
  <c r="M262" i="17"/>
  <c r="L262" i="17"/>
  <c r="O262" i="17" s="1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I237" i="17" s="1"/>
  <c r="L242" i="17"/>
  <c r="L241" i="17"/>
  <c r="L240" i="17"/>
  <c r="L239" i="17"/>
  <c r="P238" i="17"/>
  <c r="N238" i="17"/>
  <c r="J237" i="17"/>
  <c r="J236" i="17"/>
  <c r="I236" i="17"/>
  <c r="K236" i="17" s="1"/>
  <c r="J235" i="17"/>
  <c r="I235" i="17"/>
  <c r="K235" i="17" s="1"/>
  <c r="J233" i="17"/>
  <c r="N231" i="17"/>
  <c r="N230" i="17"/>
  <c r="N229" i="17"/>
  <c r="N228" i="17"/>
  <c r="N227" i="17"/>
  <c r="J226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M189" i="17"/>
  <c r="L189" i="17"/>
  <c r="O189" i="17" s="1"/>
  <c r="P188" i="17"/>
  <c r="O188" i="17"/>
  <c r="N186" i="17"/>
  <c r="N184" i="17" s="1"/>
  <c r="M186" i="17"/>
  <c r="L186" i="17"/>
  <c r="P185" i="17"/>
  <c r="O185" i="17"/>
  <c r="P182" i="17"/>
  <c r="N182" i="17"/>
  <c r="M182" i="17"/>
  <c r="L182" i="17"/>
  <c r="J180" i="17"/>
  <c r="J177" i="17"/>
  <c r="I176" i="17"/>
  <c r="J174" i="17"/>
  <c r="N173" i="17"/>
  <c r="N171" i="17" s="1"/>
  <c r="M173" i="17"/>
  <c r="P173" i="17" s="1"/>
  <c r="L173" i="17"/>
  <c r="L171" i="17" s="1"/>
  <c r="O171" i="17" s="1"/>
  <c r="P172" i="17"/>
  <c r="O172" i="17"/>
  <c r="N170" i="17"/>
  <c r="N168" i="17" s="1"/>
  <c r="M170" i="17"/>
  <c r="P170" i="17" s="1"/>
  <c r="L170" i="17"/>
  <c r="P169" i="17"/>
  <c r="O169" i="17"/>
  <c r="P166" i="17"/>
  <c r="N166" i="17"/>
  <c r="M166" i="17"/>
  <c r="L166" i="17"/>
  <c r="J164" i="17"/>
  <c r="I159" i="17"/>
  <c r="K159" i="17" s="1"/>
  <c r="N157" i="17"/>
  <c r="M157" i="17"/>
  <c r="L157" i="17"/>
  <c r="O157" i="17" s="1"/>
  <c r="P156" i="17"/>
  <c r="O156" i="17"/>
  <c r="N154" i="17"/>
  <c r="N152" i="17" s="1"/>
  <c r="M154" i="17"/>
  <c r="L154" i="17"/>
  <c r="O154" i="17" s="1"/>
  <c r="P153" i="17"/>
  <c r="O153" i="17"/>
  <c r="P150" i="17"/>
  <c r="N150" i="17"/>
  <c r="M150" i="17"/>
  <c r="L150" i="17"/>
  <c r="O150" i="17" s="1"/>
  <c r="J148" i="17"/>
  <c r="I146" i="17"/>
  <c r="K146" i="17" s="1"/>
  <c r="I145" i="17"/>
  <c r="K145" i="17" s="1"/>
  <c r="I144" i="17"/>
  <c r="K144" i="17" s="1"/>
  <c r="N140" i="17"/>
  <c r="N138" i="17" s="1"/>
  <c r="M140" i="17"/>
  <c r="M138" i="17" s="1"/>
  <c r="L140" i="17"/>
  <c r="P139" i="17"/>
  <c r="O139" i="17"/>
  <c r="N137" i="17"/>
  <c r="N135" i="17" s="1"/>
  <c r="M137" i="17"/>
  <c r="L137" i="17"/>
  <c r="P136" i="17"/>
  <c r="O136" i="17"/>
  <c r="O133" i="17"/>
  <c r="N133" i="17"/>
  <c r="M133" i="17"/>
  <c r="L133" i="17"/>
  <c r="J130" i="17"/>
  <c r="N127" i="17"/>
  <c r="N125" i="17" s="1"/>
  <c r="M127" i="17"/>
  <c r="L127" i="17"/>
  <c r="O127" i="17" s="1"/>
  <c r="P126" i="17"/>
  <c r="O126" i="17"/>
  <c r="N124" i="17"/>
  <c r="M124" i="17"/>
  <c r="L124" i="17"/>
  <c r="O124" i="17" s="1"/>
  <c r="P123" i="17"/>
  <c r="O123" i="17"/>
  <c r="P120" i="17"/>
  <c r="N120" i="17"/>
  <c r="M120" i="17"/>
  <c r="L120" i="17"/>
  <c r="O120" i="17" s="1"/>
  <c r="I116" i="17"/>
  <c r="K116" i="17" s="1"/>
  <c r="I115" i="17"/>
  <c r="I114" i="17"/>
  <c r="K114" i="17" s="1"/>
  <c r="I113" i="17"/>
  <c r="K113" i="17" s="1"/>
  <c r="J112" i="17"/>
  <c r="J111" i="17"/>
  <c r="I111" i="17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K99" i="17" s="1"/>
  <c r="J98" i="17"/>
  <c r="I98" i="17"/>
  <c r="I86" i="17" s="1"/>
  <c r="N96" i="17"/>
  <c r="N94" i="17" s="1"/>
  <c r="M96" i="17"/>
  <c r="L96" i="17"/>
  <c r="O96" i="17" s="1"/>
  <c r="P95" i="17"/>
  <c r="O95" i="17"/>
  <c r="N93" i="17"/>
  <c r="M93" i="17"/>
  <c r="L93" i="17"/>
  <c r="L91" i="17" s="1"/>
  <c r="P92" i="17"/>
  <c r="O92" i="17"/>
  <c r="P89" i="17"/>
  <c r="N89" i="17"/>
  <c r="M89" i="17"/>
  <c r="L89" i="17"/>
  <c r="J87" i="17"/>
  <c r="I87" i="17"/>
  <c r="J86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K79" i="17" s="1"/>
  <c r="I78" i="17"/>
  <c r="K78" i="17" s="1"/>
  <c r="J77" i="17"/>
  <c r="J76" i="17"/>
  <c r="J64" i="17" s="1"/>
  <c r="N74" i="17"/>
  <c r="N72" i="17" s="1"/>
  <c r="M74" i="17"/>
  <c r="P74" i="17" s="1"/>
  <c r="L74" i="17"/>
  <c r="O74" i="17" s="1"/>
  <c r="P73" i="17"/>
  <c r="O73" i="17"/>
  <c r="N71" i="17"/>
  <c r="N69" i="17" s="1"/>
  <c r="M71" i="17"/>
  <c r="L71" i="17"/>
  <c r="L69" i="17" s="1"/>
  <c r="P70" i="17"/>
  <c r="O70" i="17"/>
  <c r="P67" i="17"/>
  <c r="N67" i="17"/>
  <c r="M67" i="17"/>
  <c r="L67" i="17"/>
  <c r="O67" i="17" s="1"/>
  <c r="J65" i="17"/>
  <c r="N61" i="17"/>
  <c r="N59" i="17" s="1"/>
  <c r="M61" i="17"/>
  <c r="M59" i="17" s="1"/>
  <c r="P59" i="17" s="1"/>
  <c r="L61" i="17"/>
  <c r="O61" i="17" s="1"/>
  <c r="P60" i="17"/>
  <c r="O60" i="17"/>
  <c r="N58" i="17"/>
  <c r="M58" i="17"/>
  <c r="M56" i="17" s="1"/>
  <c r="L58" i="17"/>
  <c r="P57" i="17"/>
  <c r="O57" i="17"/>
  <c r="O54" i="17"/>
  <c r="N54" i="17"/>
  <c r="M54" i="17"/>
  <c r="P54" i="17" s="1"/>
  <c r="L54" i="17"/>
  <c r="N49" i="17"/>
  <c r="N47" i="17" s="1"/>
  <c r="M49" i="17"/>
  <c r="M47" i="17" s="1"/>
  <c r="P47" i="17" s="1"/>
  <c r="L49" i="17"/>
  <c r="O49" i="17" s="1"/>
  <c r="P48" i="17"/>
  <c r="O48" i="17"/>
  <c r="N46" i="17"/>
  <c r="N44" i="17" s="1"/>
  <c r="M46" i="17"/>
  <c r="M44" i="17" s="1"/>
  <c r="L46" i="17"/>
  <c r="L44" i="17" s="1"/>
  <c r="P45" i="17"/>
  <c r="O45" i="17"/>
  <c r="P42" i="17"/>
  <c r="N42" i="17"/>
  <c r="M42" i="17"/>
  <c r="L42" i="17"/>
  <c r="N36" i="17"/>
  <c r="N34" i="17" s="1"/>
  <c r="M36" i="17"/>
  <c r="P36" i="17" s="1"/>
  <c r="O35" i="17"/>
  <c r="N35" i="17"/>
  <c r="M35" i="17"/>
  <c r="P35" i="17" s="1"/>
  <c r="L35" i="17"/>
  <c r="M34" i="17"/>
  <c r="P34" i="17" s="1"/>
  <c r="N33" i="17"/>
  <c r="P32" i="17"/>
  <c r="O32" i="17"/>
  <c r="N32" i="17"/>
  <c r="M32" i="17"/>
  <c r="L32" i="17"/>
  <c r="N31" i="17"/>
  <c r="N30" i="17"/>
  <c r="N28" i="17" s="1"/>
  <c r="N29" i="17"/>
  <c r="L29" i="17"/>
  <c r="O29" i="17" s="1"/>
  <c r="P25" i="17"/>
  <c r="O25" i="17"/>
  <c r="N25" i="17"/>
  <c r="N15" i="17" s="1"/>
  <c r="M25" i="17"/>
  <c r="L25" i="17"/>
  <c r="N22" i="17"/>
  <c r="M22" i="17"/>
  <c r="L22" i="17"/>
  <c r="L12" i="17" s="1"/>
  <c r="O19" i="17"/>
  <c r="L19" i="17"/>
  <c r="O15" i="17"/>
  <c r="M15" i="17"/>
  <c r="P15" i="17" s="1"/>
  <c r="L15" i="17"/>
  <c r="N12" i="17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P809" i="16"/>
  <c r="O809" i="16"/>
  <c r="O808" i="16"/>
  <c r="N808" i="16"/>
  <c r="M808" i="16"/>
  <c r="P808" i="16" s="1"/>
  <c r="L808" i="16"/>
  <c r="N807" i="16"/>
  <c r="N805" i="16" s="1"/>
  <c r="M807" i="16"/>
  <c r="P807" i="16" s="1"/>
  <c r="L807" i="16"/>
  <c r="O807" i="16" s="1"/>
  <c r="N806" i="16"/>
  <c r="M806" i="16"/>
  <c r="L806" i="16"/>
  <c r="O806" i="16" s="1"/>
  <c r="L805" i="16"/>
  <c r="O805" i="16" s="1"/>
  <c r="K804" i="16"/>
  <c r="J804" i="16"/>
  <c r="J803" i="16"/>
  <c r="I803" i="16"/>
  <c r="K803" i="16" s="1"/>
  <c r="J802" i="16"/>
  <c r="J801" i="16"/>
  <c r="I801" i="16"/>
  <c r="J800" i="16"/>
  <c r="P798" i="16"/>
  <c r="O798" i="16"/>
  <c r="P797" i="16"/>
  <c r="O797" i="16"/>
  <c r="N796" i="16"/>
  <c r="M796" i="16"/>
  <c r="P796" i="16" s="1"/>
  <c r="L796" i="16"/>
  <c r="O796" i="16" s="1"/>
  <c r="N791" i="16"/>
  <c r="N789" i="16" s="1"/>
  <c r="L791" i="16"/>
  <c r="L789" i="16" s="1"/>
  <c r="P790" i="16"/>
  <c r="O790" i="16"/>
  <c r="N788" i="16"/>
  <c r="P787" i="16"/>
  <c r="O787" i="16"/>
  <c r="N787" i="16"/>
  <c r="N786" i="16" s="1"/>
  <c r="M787" i="16"/>
  <c r="L787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N772" i="16" s="1"/>
  <c r="P774" i="16"/>
  <c r="O774" i="16"/>
  <c r="M773" i="16"/>
  <c r="P773" i="16" s="1"/>
  <c r="L773" i="16"/>
  <c r="O773" i="16" s="1"/>
  <c r="M772" i="16"/>
  <c r="L772" i="16"/>
  <c r="O772" i="16" s="1"/>
  <c r="P771" i="16"/>
  <c r="N771" i="16"/>
  <c r="M771" i="16"/>
  <c r="L771" i="16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P758" i="16"/>
  <c r="O758" i="16"/>
  <c r="M757" i="16"/>
  <c r="P757" i="16" s="1"/>
  <c r="L757" i="16"/>
  <c r="O757" i="16" s="1"/>
  <c r="M756" i="16"/>
  <c r="L756" i="16"/>
  <c r="O756" i="16" s="1"/>
  <c r="P755" i="16"/>
  <c r="N755" i="16"/>
  <c r="M755" i="16"/>
  <c r="L755" i="16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N739" i="16" s="1"/>
  <c r="P741" i="16"/>
  <c r="O741" i="16"/>
  <c r="N740" i="16"/>
  <c r="M740" i="16"/>
  <c r="P740" i="16" s="1"/>
  <c r="L740" i="16"/>
  <c r="O740" i="16" s="1"/>
  <c r="M739" i="16"/>
  <c r="L739" i="16"/>
  <c r="O739" i="16" s="1"/>
  <c r="P738" i="16"/>
  <c r="N738" i="16"/>
  <c r="N737" i="16" s="1"/>
  <c r="M738" i="16"/>
  <c r="L738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P695" i="16"/>
  <c r="O695" i="16"/>
  <c r="N695" i="16"/>
  <c r="M695" i="16"/>
  <c r="L695" i="16"/>
  <c r="N690" i="16"/>
  <c r="L690" i="16"/>
  <c r="M690" i="16" s="1"/>
  <c r="M688" i="16" s="1"/>
  <c r="P686" i="16"/>
  <c r="N686" i="16"/>
  <c r="M686" i="16"/>
  <c r="L686" i="16"/>
  <c r="J679" i="16"/>
  <c r="J678" i="16" s="1"/>
  <c r="I678" i="16"/>
  <c r="K678" i="16" s="1"/>
  <c r="J675" i="16"/>
  <c r="I671" i="16"/>
  <c r="K671" i="16" s="1"/>
  <c r="I670" i="16"/>
  <c r="K670" i="16" s="1"/>
  <c r="J669" i="16"/>
  <c r="I669" i="16"/>
  <c r="K672" i="16" s="1"/>
  <c r="P667" i="16"/>
  <c r="O667" i="16"/>
  <c r="P666" i="16"/>
  <c r="O666" i="16"/>
  <c r="N665" i="16"/>
  <c r="M665" i="16"/>
  <c r="P665" i="16" s="1"/>
  <c r="L665" i="16"/>
  <c r="O665" i="16" s="1"/>
  <c r="N660" i="16"/>
  <c r="N658" i="16" s="1"/>
  <c r="L660" i="16"/>
  <c r="O660" i="16" s="1"/>
  <c r="P659" i="16"/>
  <c r="O659" i="16"/>
  <c r="N657" i="16"/>
  <c r="P656" i="16"/>
  <c r="O656" i="16"/>
  <c r="N656" i="16"/>
  <c r="M656" i="16"/>
  <c r="L656" i="16"/>
  <c r="N655" i="16"/>
  <c r="J654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N639" i="16"/>
  <c r="M639" i="16"/>
  <c r="P639" i="16" s="1"/>
  <c r="N634" i="16"/>
  <c r="N631" i="16" s="1"/>
  <c r="N629" i="16" s="1"/>
  <c r="L634" i="16"/>
  <c r="P633" i="16"/>
  <c r="O633" i="16"/>
  <c r="N632" i="16"/>
  <c r="N630" i="16"/>
  <c r="M630" i="16"/>
  <c r="L630" i="16"/>
  <c r="O630" i="16" s="1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I594" i="16"/>
  <c r="K594" i="16" s="1"/>
  <c r="J593" i="16"/>
  <c r="J592" i="16" s="1"/>
  <c r="I593" i="16"/>
  <c r="J583" i="16"/>
  <c r="J577" i="16" s="1"/>
  <c r="J582" i="16"/>
  <c r="J576" i="16" s="1"/>
  <c r="J559" i="16" s="1"/>
  <c r="I577" i="16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O557" i="16" s="1"/>
  <c r="P556" i="16"/>
  <c r="O556" i="16"/>
  <c r="N555" i="16"/>
  <c r="M555" i="16"/>
  <c r="N549" i="16"/>
  <c r="L549" i="16"/>
  <c r="L546" i="16" s="1"/>
  <c r="P548" i="16"/>
  <c r="O548" i="16"/>
  <c r="N547" i="16"/>
  <c r="N546" i="16"/>
  <c r="N545" i="16"/>
  <c r="N544" i="16" s="1"/>
  <c r="L545" i="16"/>
  <c r="O545" i="16" s="1"/>
  <c r="J543" i="16"/>
  <c r="I542" i="16"/>
  <c r="K542" i="16" s="1"/>
  <c r="I541" i="16"/>
  <c r="K541" i="16" s="1"/>
  <c r="I540" i="16"/>
  <c r="I539" i="16"/>
  <c r="K539" i="16" s="1"/>
  <c r="I538" i="16"/>
  <c r="K538" i="16" s="1"/>
  <c r="I537" i="16"/>
  <c r="K537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L528" i="16"/>
  <c r="L526" i="16" s="1"/>
  <c r="O526" i="16" s="1"/>
  <c r="P527" i="16"/>
  <c r="O527" i="16"/>
  <c r="P526" i="16"/>
  <c r="N526" i="16"/>
  <c r="M526" i="16"/>
  <c r="P525" i="16"/>
  <c r="M525" i="16"/>
  <c r="P524" i="16"/>
  <c r="O524" i="16"/>
  <c r="N524" i="16"/>
  <c r="M524" i="16"/>
  <c r="L524" i="16"/>
  <c r="N523" i="16"/>
  <c r="M523" i="16"/>
  <c r="P523" i="16" s="1"/>
  <c r="K517" i="16"/>
  <c r="J517" i="16"/>
  <c r="J501" i="16" s="1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P506" i="16"/>
  <c r="O506" i="16"/>
  <c r="O505" i="16"/>
  <c r="N505" i="16"/>
  <c r="M505" i="16"/>
  <c r="P505" i="16" s="1"/>
  <c r="L505" i="16"/>
  <c r="N504" i="16"/>
  <c r="N502" i="16" s="1"/>
  <c r="M504" i="16"/>
  <c r="P504" i="16" s="1"/>
  <c r="L504" i="16"/>
  <c r="O504" i="16" s="1"/>
  <c r="N503" i="16"/>
  <c r="M503" i="16"/>
  <c r="L503" i="16"/>
  <c r="O503" i="16" s="1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P477" i="16"/>
  <c r="N477" i="16"/>
  <c r="M477" i="16"/>
  <c r="N472" i="16"/>
  <c r="N470" i="16" s="1"/>
  <c r="L472" i="16"/>
  <c r="M472" i="16" s="1"/>
  <c r="P471" i="16"/>
  <c r="O471" i="16"/>
  <c r="N469" i="16"/>
  <c r="N468" i="16"/>
  <c r="M468" i="16"/>
  <c r="P468" i="16" s="1"/>
  <c r="L468" i="16"/>
  <c r="O468" i="16" s="1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I443" i="16" s="1"/>
  <c r="I460" i="16"/>
  <c r="K460" i="16" s="1"/>
  <c r="K458" i="16"/>
  <c r="P456" i="16"/>
  <c r="L456" i="16"/>
  <c r="L454" i="16" s="1"/>
  <c r="O454" i="16" s="1"/>
  <c r="P455" i="16"/>
  <c r="O455" i="16"/>
  <c r="N454" i="16"/>
  <c r="M454" i="16"/>
  <c r="P454" i="16" s="1"/>
  <c r="N449" i="16"/>
  <c r="L449" i="16"/>
  <c r="L446" i="16" s="1"/>
  <c r="O446" i="16" s="1"/>
  <c r="P448" i="16"/>
  <c r="O448" i="16"/>
  <c r="N447" i="16"/>
  <c r="N446" i="16"/>
  <c r="N444" i="16" s="1"/>
  <c r="N445" i="16"/>
  <c r="M445" i="16"/>
  <c r="P445" i="16" s="1"/>
  <c r="L445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K435" i="16" s="1"/>
  <c r="J434" i="16"/>
  <c r="J418" i="16" s="1"/>
  <c r="P431" i="16"/>
  <c r="L431" i="16"/>
  <c r="P430" i="16"/>
  <c r="O430" i="16"/>
  <c r="N429" i="16"/>
  <c r="M429" i="16"/>
  <c r="P429" i="16" s="1"/>
  <c r="N424" i="16"/>
  <c r="N421" i="16" s="1"/>
  <c r="N419" i="16" s="1"/>
  <c r="L424" i="16"/>
  <c r="L422" i="16" s="1"/>
  <c r="P423" i="16"/>
  <c r="O423" i="16"/>
  <c r="N422" i="16"/>
  <c r="N420" i="16"/>
  <c r="M420" i="16"/>
  <c r="L420" i="16"/>
  <c r="K413" i="16"/>
  <c r="K412" i="16"/>
  <c r="N410" i="16"/>
  <c r="N408" i="16" s="1"/>
  <c r="M410" i="16"/>
  <c r="L410" i="16"/>
  <c r="O410" i="16" s="1"/>
  <c r="P409" i="16"/>
  <c r="O409" i="16"/>
  <c r="N407" i="16"/>
  <c r="M407" i="16"/>
  <c r="P407" i="16" s="1"/>
  <c r="L407" i="16"/>
  <c r="O407" i="16" s="1"/>
  <c r="P406" i="16"/>
  <c r="O406" i="16"/>
  <c r="P403" i="16"/>
  <c r="N403" i="16"/>
  <c r="M403" i="16"/>
  <c r="L403" i="16"/>
  <c r="O403" i="16" s="1"/>
  <c r="J401" i="16"/>
  <c r="I401" i="16"/>
  <c r="K401" i="16" s="1"/>
  <c r="K400" i="16"/>
  <c r="K399" i="16"/>
  <c r="N397" i="16"/>
  <c r="N395" i="16" s="1"/>
  <c r="M397" i="16"/>
  <c r="L397" i="16"/>
  <c r="O397" i="16" s="1"/>
  <c r="P396" i="16"/>
  <c r="O396" i="16"/>
  <c r="N394" i="16"/>
  <c r="N392" i="16" s="1"/>
  <c r="M394" i="16"/>
  <c r="L394" i="16"/>
  <c r="O394" i="16" s="1"/>
  <c r="P393" i="16"/>
  <c r="O393" i="16"/>
  <c r="N390" i="16"/>
  <c r="M390" i="16"/>
  <c r="L390" i="16"/>
  <c r="O390" i="16" s="1"/>
  <c r="K388" i="16"/>
  <c r="J388" i="16"/>
  <c r="I388" i="16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L353" i="16"/>
  <c r="L351" i="16" s="1"/>
  <c r="P352" i="16"/>
  <c r="O352" i="16"/>
  <c r="N350" i="16"/>
  <c r="N348" i="16" s="1"/>
  <c r="M350" i="16"/>
  <c r="L350" i="16"/>
  <c r="L348" i="16" s="1"/>
  <c r="P349" i="16"/>
  <c r="O349" i="16"/>
  <c r="N346" i="16"/>
  <c r="M346" i="16"/>
  <c r="L346" i="16"/>
  <c r="O346" i="16" s="1"/>
  <c r="J343" i="16"/>
  <c r="J342" i="16"/>
  <c r="J341" i="16"/>
  <c r="J340" i="16"/>
  <c r="I340" i="16"/>
  <c r="J338" i="16"/>
  <c r="I338" i="16"/>
  <c r="N336" i="16"/>
  <c r="M336" i="16"/>
  <c r="P336" i="16" s="1"/>
  <c r="L336" i="16"/>
  <c r="P335" i="16"/>
  <c r="O335" i="16"/>
  <c r="N333" i="16"/>
  <c r="N331" i="16" s="1"/>
  <c r="M333" i="16"/>
  <c r="L333" i="16"/>
  <c r="P332" i="16"/>
  <c r="O332" i="16"/>
  <c r="P329" i="16"/>
  <c r="O329" i="16"/>
  <c r="N329" i="16"/>
  <c r="M329" i="16"/>
  <c r="L329" i="16"/>
  <c r="I327" i="16"/>
  <c r="I325" i="16"/>
  <c r="N323" i="16"/>
  <c r="N321" i="16" s="1"/>
  <c r="M323" i="16"/>
  <c r="L323" i="16"/>
  <c r="O323" i="16" s="1"/>
  <c r="P322" i="16"/>
  <c r="O322" i="16"/>
  <c r="N320" i="16"/>
  <c r="M320" i="16"/>
  <c r="L320" i="16"/>
  <c r="O320" i="16" s="1"/>
  <c r="P319" i="16"/>
  <c r="O319" i="16"/>
  <c r="N316" i="16"/>
  <c r="M316" i="16"/>
  <c r="L316" i="16"/>
  <c r="O316" i="16" s="1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L306" i="16"/>
  <c r="L304" i="16" s="1"/>
  <c r="O304" i="16" s="1"/>
  <c r="P305" i="16"/>
  <c r="O305" i="16"/>
  <c r="N303" i="16"/>
  <c r="M303" i="16"/>
  <c r="M301" i="16" s="1"/>
  <c r="L303" i="16"/>
  <c r="L301" i="16" s="1"/>
  <c r="P302" i="16"/>
  <c r="O302" i="16"/>
  <c r="O299" i="16"/>
  <c r="N299" i="16"/>
  <c r="M299" i="16"/>
  <c r="P299" i="16" s="1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N283" i="16" s="1"/>
  <c r="M285" i="16"/>
  <c r="M283" i="16" s="1"/>
  <c r="P283" i="16" s="1"/>
  <c r="L285" i="16"/>
  <c r="O285" i="16" s="1"/>
  <c r="P284" i="16"/>
  <c r="O284" i="16"/>
  <c r="N282" i="16"/>
  <c r="M282" i="16"/>
  <c r="M280" i="16" s="1"/>
  <c r="L282" i="16"/>
  <c r="P281" i="16"/>
  <c r="O281" i="16"/>
  <c r="P278" i="16"/>
  <c r="O278" i="16"/>
  <c r="N278" i="16"/>
  <c r="M278" i="16"/>
  <c r="L278" i="16"/>
  <c r="J276" i="16"/>
  <c r="I271" i="16"/>
  <c r="K271" i="16" s="1"/>
  <c r="N269" i="16"/>
  <c r="N267" i="16" s="1"/>
  <c r="M269" i="16"/>
  <c r="L269" i="16"/>
  <c r="L267" i="16" s="1"/>
  <c r="O267" i="16" s="1"/>
  <c r="P268" i="16"/>
  <c r="O268" i="16"/>
  <c r="N266" i="16"/>
  <c r="M266" i="16"/>
  <c r="M264" i="16" s="1"/>
  <c r="L266" i="16"/>
  <c r="L264" i="16" s="1"/>
  <c r="P265" i="16"/>
  <c r="O265" i="16"/>
  <c r="N262" i="16"/>
  <c r="M262" i="16"/>
  <c r="P262" i="16" s="1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L242" i="16"/>
  <c r="L241" i="16"/>
  <c r="L240" i="16"/>
  <c r="L239" i="16"/>
  <c r="P238" i="16"/>
  <c r="N238" i="16"/>
  <c r="N227" i="16" s="1"/>
  <c r="J237" i="16"/>
  <c r="K236" i="16"/>
  <c r="J236" i="16"/>
  <c r="I236" i="16"/>
  <c r="K235" i="16"/>
  <c r="J235" i="16"/>
  <c r="I235" i="16"/>
  <c r="J233" i="16"/>
  <c r="N231" i="16"/>
  <c r="N230" i="16"/>
  <c r="N229" i="16"/>
  <c r="N228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M187" i="16" s="1"/>
  <c r="P187" i="16" s="1"/>
  <c r="L189" i="16"/>
  <c r="O189" i="16" s="1"/>
  <c r="P188" i="16"/>
  <c r="O188" i="16"/>
  <c r="N186" i="16"/>
  <c r="N184" i="16" s="1"/>
  <c r="M186" i="16"/>
  <c r="L186" i="16"/>
  <c r="P185" i="16"/>
  <c r="O185" i="16"/>
  <c r="N182" i="16"/>
  <c r="M182" i="16"/>
  <c r="L182" i="16"/>
  <c r="O182" i="16" s="1"/>
  <c r="J177" i="16"/>
  <c r="J164" i="16" s="1"/>
  <c r="I176" i="16"/>
  <c r="K176" i="16" s="1"/>
  <c r="J174" i="16"/>
  <c r="N173" i="16"/>
  <c r="N171" i="16" s="1"/>
  <c r="M173" i="16"/>
  <c r="M171" i="16" s="1"/>
  <c r="P171" i="16" s="1"/>
  <c r="L173" i="16"/>
  <c r="O173" i="16" s="1"/>
  <c r="P172" i="16"/>
  <c r="O172" i="16"/>
  <c r="N170" i="16"/>
  <c r="N168" i="16" s="1"/>
  <c r="M170" i="16"/>
  <c r="L170" i="16"/>
  <c r="L168" i="16" s="1"/>
  <c r="P169" i="16"/>
  <c r="O169" i="16"/>
  <c r="O166" i="16"/>
  <c r="N166" i="16"/>
  <c r="M166" i="16"/>
  <c r="L166" i="16"/>
  <c r="I159" i="16"/>
  <c r="K159" i="16" s="1"/>
  <c r="N157" i="16"/>
  <c r="N155" i="16" s="1"/>
  <c r="M157" i="16"/>
  <c r="P157" i="16" s="1"/>
  <c r="L157" i="16"/>
  <c r="L155" i="16" s="1"/>
  <c r="O155" i="16" s="1"/>
  <c r="P156" i="16"/>
  <c r="O156" i="16"/>
  <c r="N154" i="16"/>
  <c r="N152" i="16" s="1"/>
  <c r="M154" i="16"/>
  <c r="L154" i="16"/>
  <c r="P153" i="16"/>
  <c r="O153" i="16"/>
  <c r="O150" i="16"/>
  <c r="N150" i="16"/>
  <c r="M150" i="16"/>
  <c r="P150" i="16" s="1"/>
  <c r="L150" i="16"/>
  <c r="J148" i="16"/>
  <c r="I146" i="16"/>
  <c r="I145" i="16"/>
  <c r="I144" i="16"/>
  <c r="K144" i="16" s="1"/>
  <c r="N140" i="16"/>
  <c r="N138" i="16" s="1"/>
  <c r="M140" i="16"/>
  <c r="P140" i="16" s="1"/>
  <c r="L140" i="16"/>
  <c r="L138" i="16" s="1"/>
  <c r="O138" i="16" s="1"/>
  <c r="P139" i="16"/>
  <c r="O139" i="16"/>
  <c r="N137" i="16"/>
  <c r="N135" i="16" s="1"/>
  <c r="M137" i="16"/>
  <c r="L137" i="16"/>
  <c r="P136" i="16"/>
  <c r="O136" i="16"/>
  <c r="P133" i="16"/>
  <c r="O133" i="16"/>
  <c r="N133" i="16"/>
  <c r="M133" i="16"/>
  <c r="L133" i="16"/>
  <c r="J130" i="16"/>
  <c r="N127" i="16"/>
  <c r="N125" i="16" s="1"/>
  <c r="M127" i="16"/>
  <c r="M125" i="16" s="1"/>
  <c r="P125" i="16" s="1"/>
  <c r="L127" i="16"/>
  <c r="L125" i="16" s="1"/>
  <c r="O125" i="16" s="1"/>
  <c r="P126" i="16"/>
  <c r="O126" i="16"/>
  <c r="N124" i="16"/>
  <c r="N122" i="16" s="1"/>
  <c r="M124" i="16"/>
  <c r="P124" i="16" s="1"/>
  <c r="L124" i="16"/>
  <c r="L122" i="16" s="1"/>
  <c r="O122" i="16" s="1"/>
  <c r="P123" i="16"/>
  <c r="O123" i="16"/>
  <c r="O120" i="16"/>
  <c r="N120" i="16"/>
  <c r="M120" i="16"/>
  <c r="P120" i="16" s="1"/>
  <c r="L120" i="16"/>
  <c r="K118" i="16"/>
  <c r="J118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J99" i="16"/>
  <c r="J87" i="16" s="1"/>
  <c r="I99" i="16"/>
  <c r="I87" i="16" s="1"/>
  <c r="K87" i="16" s="1"/>
  <c r="J98" i="16"/>
  <c r="I98" i="16"/>
  <c r="I86" i="16" s="1"/>
  <c r="K86" i="16" s="1"/>
  <c r="N96" i="16"/>
  <c r="M96" i="16"/>
  <c r="P96" i="16" s="1"/>
  <c r="L96" i="16"/>
  <c r="L94" i="16" s="1"/>
  <c r="O94" i="16" s="1"/>
  <c r="P95" i="16"/>
  <c r="O95" i="16"/>
  <c r="N93" i="16"/>
  <c r="N91" i="16" s="1"/>
  <c r="M93" i="16"/>
  <c r="L93" i="16"/>
  <c r="L91" i="16" s="1"/>
  <c r="P92" i="16"/>
  <c r="O92" i="16"/>
  <c r="N89" i="16"/>
  <c r="M89" i="16"/>
  <c r="P89" i="16" s="1"/>
  <c r="L89" i="16"/>
  <c r="J86" i="16"/>
  <c r="I84" i="16"/>
  <c r="K84" i="16" s="1"/>
  <c r="I83" i="16"/>
  <c r="K83" i="16" s="1"/>
  <c r="I82" i="16"/>
  <c r="K82" i="16" s="1"/>
  <c r="I81" i="16"/>
  <c r="I80" i="16"/>
  <c r="K80" i="16" s="1"/>
  <c r="I79" i="16"/>
  <c r="K79" i="16" s="1"/>
  <c r="I78" i="16"/>
  <c r="J77" i="16"/>
  <c r="J76" i="16"/>
  <c r="J64" i="16" s="1"/>
  <c r="N74" i="16"/>
  <c r="N72" i="16" s="1"/>
  <c r="M74" i="16"/>
  <c r="P74" i="16" s="1"/>
  <c r="L74" i="16"/>
  <c r="O74" i="16" s="1"/>
  <c r="P73" i="16"/>
  <c r="O73" i="16"/>
  <c r="N71" i="16"/>
  <c r="N69" i="16" s="1"/>
  <c r="M71" i="16"/>
  <c r="P71" i="16" s="1"/>
  <c r="L71" i="16"/>
  <c r="L69" i="16" s="1"/>
  <c r="O69" i="16" s="1"/>
  <c r="P70" i="16"/>
  <c r="O70" i="16"/>
  <c r="P67" i="16"/>
  <c r="N67" i="16"/>
  <c r="M67" i="16"/>
  <c r="L67" i="16"/>
  <c r="O67" i="16" s="1"/>
  <c r="J65" i="16"/>
  <c r="N61" i="16"/>
  <c r="M61" i="16"/>
  <c r="M59" i="16" s="1"/>
  <c r="L61" i="16"/>
  <c r="L59" i="16" s="1"/>
  <c r="P60" i="16"/>
  <c r="O60" i="16"/>
  <c r="N58" i="16"/>
  <c r="N56" i="16" s="1"/>
  <c r="M58" i="16"/>
  <c r="M56" i="16" s="1"/>
  <c r="L58" i="16"/>
  <c r="L56" i="16" s="1"/>
  <c r="P57" i="16"/>
  <c r="O57" i="16"/>
  <c r="P54" i="16"/>
  <c r="O54" i="16"/>
  <c r="N54" i="16"/>
  <c r="M54" i="16"/>
  <c r="L54" i="16"/>
  <c r="N49" i="16"/>
  <c r="N47" i="16" s="1"/>
  <c r="M49" i="16"/>
  <c r="P49" i="16" s="1"/>
  <c r="L49" i="16"/>
  <c r="O49" i="16" s="1"/>
  <c r="P48" i="16"/>
  <c r="O48" i="16"/>
  <c r="N46" i="16"/>
  <c r="N44" i="16" s="1"/>
  <c r="M46" i="16"/>
  <c r="L46" i="16"/>
  <c r="L44" i="16" s="1"/>
  <c r="P45" i="16"/>
  <c r="O45" i="16"/>
  <c r="N42" i="16"/>
  <c r="M42" i="16"/>
  <c r="L42" i="16"/>
  <c r="O42" i="16" s="1"/>
  <c r="N36" i="16"/>
  <c r="M36" i="16"/>
  <c r="P36" i="16" s="1"/>
  <c r="N35" i="16"/>
  <c r="N34" i="16" s="1"/>
  <c r="M35" i="16"/>
  <c r="P35" i="16" s="1"/>
  <c r="L35" i="16"/>
  <c r="O35" i="16" s="1"/>
  <c r="P32" i="16"/>
  <c r="N32" i="16"/>
  <c r="M32" i="16"/>
  <c r="L32" i="16"/>
  <c r="M29" i="16"/>
  <c r="P29" i="16" s="1"/>
  <c r="P25" i="16"/>
  <c r="O25" i="16"/>
  <c r="N25" i="16"/>
  <c r="N15" i="16" s="1"/>
  <c r="M25" i="16"/>
  <c r="L25" i="16"/>
  <c r="O22" i="16"/>
  <c r="N22" i="16"/>
  <c r="N19" i="16" s="1"/>
  <c r="M22" i="16"/>
  <c r="L22" i="16"/>
  <c r="L19" i="16"/>
  <c r="L15" i="16"/>
  <c r="O15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N808" i="15"/>
  <c r="M808" i="15"/>
  <c r="P808" i="15" s="1"/>
  <c r="L808" i="15"/>
  <c r="O808" i="15" s="1"/>
  <c r="M807" i="15"/>
  <c r="P807" i="15" s="1"/>
  <c r="L807" i="15"/>
  <c r="O807" i="15" s="1"/>
  <c r="P806" i="15"/>
  <c r="N806" i="15"/>
  <c r="M806" i="15"/>
  <c r="L806" i="15"/>
  <c r="K804" i="15"/>
  <c r="J804" i="15"/>
  <c r="J803" i="15"/>
  <c r="I803" i="15"/>
  <c r="K803" i="15" s="1"/>
  <c r="J802" i="15"/>
  <c r="J801" i="15"/>
  <c r="I801" i="15"/>
  <c r="J800" i="15"/>
  <c r="P798" i="15"/>
  <c r="O798" i="15"/>
  <c r="P797" i="15"/>
  <c r="O797" i="15"/>
  <c r="P796" i="15"/>
  <c r="N796" i="15"/>
  <c r="M796" i="15"/>
  <c r="L796" i="15"/>
  <c r="O796" i="15" s="1"/>
  <c r="N791" i="15"/>
  <c r="L791" i="15"/>
  <c r="P790" i="15"/>
  <c r="O790" i="15"/>
  <c r="N788" i="15"/>
  <c r="P787" i="15"/>
  <c r="O787" i="15"/>
  <c r="N787" i="15"/>
  <c r="N786" i="15" s="1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P774" i="15"/>
  <c r="O774" i="15"/>
  <c r="M773" i="15"/>
  <c r="P773" i="15" s="1"/>
  <c r="L773" i="15"/>
  <c r="O773" i="15" s="1"/>
  <c r="P772" i="15"/>
  <c r="M772" i="15"/>
  <c r="L772" i="15"/>
  <c r="O772" i="15" s="1"/>
  <c r="P771" i="15"/>
  <c r="O771" i="15"/>
  <c r="N771" i="15"/>
  <c r="M771" i="15"/>
  <c r="L771" i="15"/>
  <c r="L770" i="15" s="1"/>
  <c r="O770" i="15" s="1"/>
  <c r="P770" i="15"/>
  <c r="M770" i="15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P758" i="15"/>
  <c r="O758" i="15"/>
  <c r="M757" i="15"/>
  <c r="P757" i="15" s="1"/>
  <c r="L757" i="15"/>
  <c r="O757" i="15" s="1"/>
  <c r="P756" i="15"/>
  <c r="M756" i="15"/>
  <c r="L756" i="15"/>
  <c r="O756" i="15" s="1"/>
  <c r="P755" i="15"/>
  <c r="O755" i="15"/>
  <c r="N755" i="15"/>
  <c r="M755" i="15"/>
  <c r="L755" i="15"/>
  <c r="P754" i="15"/>
  <c r="M754" i="15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P741" i="15"/>
  <c r="O741" i="15"/>
  <c r="M740" i="15"/>
  <c r="P740" i="15" s="1"/>
  <c r="L740" i="15"/>
  <c r="O740" i="15" s="1"/>
  <c r="P739" i="15"/>
  <c r="M739" i="15"/>
  <c r="L739" i="15"/>
  <c r="P738" i="15"/>
  <c r="O738" i="15"/>
  <c r="N738" i="15"/>
  <c r="M738" i="15"/>
  <c r="L738" i="15"/>
  <c r="P737" i="15"/>
  <c r="M737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N690" i="15"/>
  <c r="L690" i="15"/>
  <c r="M690" i="15" s="1"/>
  <c r="M688" i="15" s="1"/>
  <c r="P686" i="15"/>
  <c r="O686" i="15"/>
  <c r="N686" i="15"/>
  <c r="M686" i="15"/>
  <c r="L686" i="15"/>
  <c r="J679" i="15"/>
  <c r="J678" i="15"/>
  <c r="I678" i="15"/>
  <c r="K678" i="15" s="1"/>
  <c r="J675" i="15"/>
  <c r="I671" i="15"/>
  <c r="K671" i="15" s="1"/>
  <c r="I670" i="15"/>
  <c r="K670" i="15" s="1"/>
  <c r="J669" i="15"/>
  <c r="I669" i="15"/>
  <c r="P667" i="15"/>
  <c r="O667" i="15"/>
  <c r="P666" i="15"/>
  <c r="O666" i="15"/>
  <c r="P665" i="15"/>
  <c r="O665" i="15"/>
  <c r="N665" i="15"/>
  <c r="M665" i="15"/>
  <c r="L665" i="15"/>
  <c r="P660" i="15"/>
  <c r="N660" i="15"/>
  <c r="N657" i="15" s="1"/>
  <c r="L660" i="15"/>
  <c r="P659" i="15"/>
  <c r="O659" i="15"/>
  <c r="P658" i="15"/>
  <c r="N658" i="15"/>
  <c r="M658" i="15"/>
  <c r="M657" i="15"/>
  <c r="P657" i="15" s="1"/>
  <c r="N656" i="15"/>
  <c r="M656" i="15"/>
  <c r="P656" i="15" s="1"/>
  <c r="L656" i="15"/>
  <c r="M655" i="15"/>
  <c r="P655" i="15" s="1"/>
  <c r="J654" i="15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N634" i="15"/>
  <c r="N632" i="15" s="1"/>
  <c r="L634" i="15"/>
  <c r="L631" i="15" s="1"/>
  <c r="P633" i="15"/>
  <c r="O633" i="15"/>
  <c r="N631" i="15"/>
  <c r="P630" i="15"/>
  <c r="O630" i="15"/>
  <c r="N630" i="15"/>
  <c r="M630" i="15"/>
  <c r="L630" i="15"/>
  <c r="N629" i="15"/>
  <c r="J621" i="15"/>
  <c r="I621" i="15"/>
  <c r="K621" i="15" s="1"/>
  <c r="J620" i="15"/>
  <c r="I620" i="15"/>
  <c r="K613" i="15"/>
  <c r="J613" i="15"/>
  <c r="K612" i="15"/>
  <c r="J612" i="15"/>
  <c r="K611" i="15"/>
  <c r="J611" i="15"/>
  <c r="J604" i="15"/>
  <c r="J594" i="15" s="1"/>
  <c r="J603" i="15"/>
  <c r="J593" i="15" s="1"/>
  <c r="J596" i="15"/>
  <c r="J595" i="15"/>
  <c r="I594" i="15"/>
  <c r="K594" i="15" s="1"/>
  <c r="I593" i="15"/>
  <c r="I592" i="15" s="1"/>
  <c r="J583" i="15"/>
  <c r="J582" i="15"/>
  <c r="J577" i="15"/>
  <c r="I577" i="15"/>
  <c r="J576" i="15"/>
  <c r="I576" i="15"/>
  <c r="K576" i="15" s="1"/>
  <c r="J569" i="15"/>
  <c r="I569" i="15"/>
  <c r="J568" i="15"/>
  <c r="I568" i="15"/>
  <c r="K568" i="15" s="1"/>
  <c r="J561" i="15"/>
  <c r="I561" i="15"/>
  <c r="J560" i="15"/>
  <c r="I560" i="15"/>
  <c r="J559" i="15"/>
  <c r="J543" i="15" s="1"/>
  <c r="P557" i="15"/>
  <c r="L557" i="15"/>
  <c r="P556" i="15"/>
  <c r="O556" i="15"/>
  <c r="P555" i="15"/>
  <c r="N555" i="15"/>
  <c r="N545" i="15" s="1"/>
  <c r="N544" i="15" s="1"/>
  <c r="M555" i="15"/>
  <c r="N549" i="15"/>
  <c r="L549" i="15"/>
  <c r="P548" i="15"/>
  <c r="O548" i="15"/>
  <c r="N546" i="15"/>
  <c r="O545" i="15"/>
  <c r="M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L533" i="15" s="1"/>
  <c r="O533" i="15" s="1"/>
  <c r="P534" i="15"/>
  <c r="O534" i="15"/>
  <c r="P533" i="15"/>
  <c r="N533" i="15"/>
  <c r="M533" i="15"/>
  <c r="P528" i="15"/>
  <c r="N528" i="15"/>
  <c r="L528" i="15"/>
  <c r="L526" i="15" s="1"/>
  <c r="O526" i="15" s="1"/>
  <c r="P527" i="15"/>
  <c r="O527" i="15"/>
  <c r="N526" i="15"/>
  <c r="M526" i="15"/>
  <c r="P526" i="15" s="1"/>
  <c r="N525" i="15"/>
  <c r="M525" i="15"/>
  <c r="P525" i="15" s="1"/>
  <c r="N524" i="15"/>
  <c r="N523" i="15" s="1"/>
  <c r="M524" i="15"/>
  <c r="L524" i="15"/>
  <c r="O524" i="15" s="1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M505" i="15"/>
  <c r="P505" i="15" s="1"/>
  <c r="L505" i="15"/>
  <c r="O505" i="15" s="1"/>
  <c r="P504" i="15"/>
  <c r="M504" i="15"/>
  <c r="L504" i="15"/>
  <c r="P503" i="15"/>
  <c r="O503" i="15"/>
  <c r="N503" i="15"/>
  <c r="M503" i="15"/>
  <c r="L503" i="15"/>
  <c r="P502" i="15"/>
  <c r="M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N477" i="15"/>
  <c r="M477" i="15"/>
  <c r="P477" i="15" s="1"/>
  <c r="N472" i="15"/>
  <c r="L472" i="15"/>
  <c r="O472" i="15" s="1"/>
  <c r="P471" i="15"/>
  <c r="O471" i="15"/>
  <c r="N470" i="15"/>
  <c r="N469" i="15"/>
  <c r="P468" i="15"/>
  <c r="N468" i="15"/>
  <c r="M468" i="15"/>
  <c r="L468" i="15"/>
  <c r="N467" i="15"/>
  <c r="J466" i="15"/>
  <c r="I466" i="15"/>
  <c r="K466" i="15" s="1"/>
  <c r="J465" i="15"/>
  <c r="I465" i="15"/>
  <c r="K465" i="15" s="1"/>
  <c r="I464" i="15"/>
  <c r="K464" i="15" s="1"/>
  <c r="I463" i="15"/>
  <c r="K463" i="15" s="1"/>
  <c r="I462" i="15"/>
  <c r="I443" i="15" s="1"/>
  <c r="K443" i="15" s="1"/>
  <c r="I460" i="15"/>
  <c r="I442" i="15" s="1"/>
  <c r="K442" i="15" s="1"/>
  <c r="K458" i="15"/>
  <c r="P456" i="15"/>
  <c r="L456" i="15"/>
  <c r="O456" i="15" s="1"/>
  <c r="P455" i="15"/>
  <c r="O455" i="15"/>
  <c r="P454" i="15"/>
  <c r="N454" i="15"/>
  <c r="M454" i="15"/>
  <c r="N449" i="15"/>
  <c r="L449" i="15"/>
  <c r="P448" i="15"/>
  <c r="O448" i="15"/>
  <c r="N446" i="15"/>
  <c r="O445" i="15"/>
  <c r="N445" i="15"/>
  <c r="N444" i="15" s="1"/>
  <c r="M445" i="15"/>
  <c r="P445" i="15" s="1"/>
  <c r="L445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I433" i="15" s="1"/>
  <c r="J434" i="15"/>
  <c r="P431" i="15"/>
  <c r="L431" i="15"/>
  <c r="P430" i="15"/>
  <c r="O430" i="15"/>
  <c r="N429" i="15"/>
  <c r="M429" i="15"/>
  <c r="P429" i="15" s="1"/>
  <c r="N424" i="15"/>
  <c r="L424" i="15"/>
  <c r="O424" i="15" s="1"/>
  <c r="P423" i="15"/>
  <c r="O423" i="15"/>
  <c r="N422" i="15"/>
  <c r="N421" i="15"/>
  <c r="P420" i="15"/>
  <c r="O420" i="15"/>
  <c r="N420" i="15"/>
  <c r="M420" i="15"/>
  <c r="L420" i="15"/>
  <c r="N419" i="15"/>
  <c r="J418" i="15"/>
  <c r="K413" i="15"/>
  <c r="K412" i="15"/>
  <c r="N410" i="15"/>
  <c r="N408" i="15" s="1"/>
  <c r="M410" i="15"/>
  <c r="M408" i="15" s="1"/>
  <c r="P408" i="15" s="1"/>
  <c r="L410" i="15"/>
  <c r="O410" i="15" s="1"/>
  <c r="P409" i="15"/>
  <c r="O409" i="15"/>
  <c r="N407" i="15"/>
  <c r="M407" i="15"/>
  <c r="M405" i="15" s="1"/>
  <c r="P405" i="15" s="1"/>
  <c r="L407" i="15"/>
  <c r="O407" i="15" s="1"/>
  <c r="P406" i="15"/>
  <c r="O406" i="15"/>
  <c r="O403" i="15"/>
  <c r="N403" i="15"/>
  <c r="M403" i="15"/>
  <c r="L403" i="15"/>
  <c r="K401" i="15"/>
  <c r="J401" i="15"/>
  <c r="I401" i="15"/>
  <c r="K400" i="15"/>
  <c r="K399" i="15"/>
  <c r="N397" i="15"/>
  <c r="N395" i="15" s="1"/>
  <c r="M397" i="15"/>
  <c r="L397" i="15"/>
  <c r="L395" i="15" s="1"/>
  <c r="O395" i="15" s="1"/>
  <c r="P396" i="15"/>
  <c r="O396" i="15"/>
  <c r="N394" i="15"/>
  <c r="N392" i="15" s="1"/>
  <c r="M394" i="15"/>
  <c r="P394" i="15" s="1"/>
  <c r="L394" i="15"/>
  <c r="L392" i="15" s="1"/>
  <c r="O392" i="15" s="1"/>
  <c r="P393" i="15"/>
  <c r="O393" i="15"/>
  <c r="P390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L353" i="15"/>
  <c r="L351" i="15" s="1"/>
  <c r="P352" i="15"/>
  <c r="O352" i="15"/>
  <c r="N350" i="15"/>
  <c r="M350" i="15"/>
  <c r="M348" i="15" s="1"/>
  <c r="L350" i="15"/>
  <c r="L348" i="15" s="1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P335" i="15"/>
  <c r="O335" i="15"/>
  <c r="N333" i="15"/>
  <c r="M333" i="15"/>
  <c r="M331" i="15" s="1"/>
  <c r="L333" i="15"/>
  <c r="L331" i="15" s="1"/>
  <c r="P332" i="15"/>
  <c r="O332" i="15"/>
  <c r="P329" i="15"/>
  <c r="O329" i="15"/>
  <c r="N329" i="15"/>
  <c r="M329" i="15"/>
  <c r="L329" i="15"/>
  <c r="I327" i="15"/>
  <c r="I325" i="15"/>
  <c r="N323" i="15"/>
  <c r="N321" i="15" s="1"/>
  <c r="M323" i="15"/>
  <c r="P323" i="15" s="1"/>
  <c r="L323" i="15"/>
  <c r="P322" i="15"/>
  <c r="O322" i="15"/>
  <c r="N320" i="15"/>
  <c r="N318" i="15" s="1"/>
  <c r="M320" i="15"/>
  <c r="P320" i="15" s="1"/>
  <c r="L320" i="15"/>
  <c r="O320" i="15" s="1"/>
  <c r="P319" i="15"/>
  <c r="O319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M304" i="15" s="1"/>
  <c r="P304" i="15" s="1"/>
  <c r="L306" i="15"/>
  <c r="O306" i="15" s="1"/>
  <c r="P305" i="15"/>
  <c r="O305" i="15"/>
  <c r="N303" i="15"/>
  <c r="M303" i="15"/>
  <c r="L303" i="15"/>
  <c r="L301" i="15" s="1"/>
  <c r="P302" i="15"/>
  <c r="O302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K287" i="15" s="1"/>
  <c r="N285" i="15"/>
  <c r="N283" i="15" s="1"/>
  <c r="M285" i="15"/>
  <c r="M283" i="15" s="1"/>
  <c r="P283" i="15" s="1"/>
  <c r="L285" i="15"/>
  <c r="O285" i="15" s="1"/>
  <c r="P284" i="15"/>
  <c r="O284" i="15"/>
  <c r="N282" i="15"/>
  <c r="M282" i="15"/>
  <c r="L282" i="15"/>
  <c r="L280" i="15" s="1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L269" i="15"/>
  <c r="L267" i="15" s="1"/>
  <c r="O267" i="15" s="1"/>
  <c r="P268" i="15"/>
  <c r="O268" i="15"/>
  <c r="N266" i="15"/>
  <c r="N264" i="15" s="1"/>
  <c r="M266" i="15"/>
  <c r="L266" i="15"/>
  <c r="L264" i="15" s="1"/>
  <c r="P265" i="15"/>
  <c r="O265" i="15"/>
  <c r="O262" i="15"/>
  <c r="N262" i="15"/>
  <c r="M262" i="15"/>
  <c r="P262" i="15" s="1"/>
  <c r="L262" i="15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N227" i="15" s="1"/>
  <c r="J237" i="15"/>
  <c r="J226" i="15" s="1"/>
  <c r="J180" i="15" s="1"/>
  <c r="K236" i="15"/>
  <c r="J236" i="15"/>
  <c r="I236" i="15"/>
  <c r="J235" i="15"/>
  <c r="K235" i="15" s="1"/>
  <c r="I235" i="15"/>
  <c r="J233" i="15"/>
  <c r="N231" i="15"/>
  <c r="N230" i="15"/>
  <c r="N229" i="15"/>
  <c r="N228" i="15"/>
  <c r="I225" i="15"/>
  <c r="K225" i="15" s="1"/>
  <c r="I224" i="15"/>
  <c r="I216" i="15" s="1"/>
  <c r="K216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I190" i="15" s="1"/>
  <c r="K190" i="15" s="1"/>
  <c r="P191" i="15"/>
  <c r="L191" i="15"/>
  <c r="O191" i="15" s="1"/>
  <c r="J190" i="15"/>
  <c r="N189" i="15"/>
  <c r="N187" i="15" s="1"/>
  <c r="M189" i="15"/>
  <c r="L189" i="15"/>
  <c r="L187" i="15" s="1"/>
  <c r="O187" i="15" s="1"/>
  <c r="P188" i="15"/>
  <c r="O188" i="15"/>
  <c r="N186" i="15"/>
  <c r="N184" i="15" s="1"/>
  <c r="M186" i="15"/>
  <c r="L186" i="15"/>
  <c r="L184" i="15" s="1"/>
  <c r="P185" i="15"/>
  <c r="O185" i="15"/>
  <c r="N182" i="15"/>
  <c r="M182" i="15"/>
  <c r="L182" i="15"/>
  <c r="O182" i="15" s="1"/>
  <c r="J177" i="15"/>
  <c r="I176" i="15"/>
  <c r="J174" i="15"/>
  <c r="N173" i="15"/>
  <c r="N171" i="15" s="1"/>
  <c r="M173" i="15"/>
  <c r="L173" i="15"/>
  <c r="L171" i="15" s="1"/>
  <c r="O171" i="15" s="1"/>
  <c r="P172" i="15"/>
  <c r="O172" i="15"/>
  <c r="N170" i="15"/>
  <c r="M170" i="15"/>
  <c r="L170" i="15"/>
  <c r="L168" i="15" s="1"/>
  <c r="P169" i="15"/>
  <c r="O169" i="15"/>
  <c r="N166" i="15"/>
  <c r="M166" i="15"/>
  <c r="L166" i="15"/>
  <c r="O166" i="15" s="1"/>
  <c r="J164" i="15"/>
  <c r="I159" i="15"/>
  <c r="K159" i="15" s="1"/>
  <c r="N157" i="15"/>
  <c r="N155" i="15" s="1"/>
  <c r="M157" i="15"/>
  <c r="L157" i="15"/>
  <c r="L155" i="15" s="1"/>
  <c r="O155" i="15" s="1"/>
  <c r="P156" i="15"/>
  <c r="O156" i="15"/>
  <c r="N154" i="15"/>
  <c r="N152" i="15" s="1"/>
  <c r="M154" i="15"/>
  <c r="L154" i="15"/>
  <c r="L152" i="15" s="1"/>
  <c r="P153" i="15"/>
  <c r="O153" i="15"/>
  <c r="O150" i="15"/>
  <c r="N150" i="15"/>
  <c r="M150" i="15"/>
  <c r="P150" i="15" s="1"/>
  <c r="L150" i="15"/>
  <c r="J148" i="15"/>
  <c r="I146" i="15"/>
  <c r="I130" i="15" s="1"/>
  <c r="K130" i="15" s="1"/>
  <c r="I145" i="15"/>
  <c r="I144" i="15"/>
  <c r="K144" i="15" s="1"/>
  <c r="N140" i="15"/>
  <c r="N138" i="15" s="1"/>
  <c r="M140" i="15"/>
  <c r="L140" i="15"/>
  <c r="P139" i="15"/>
  <c r="O139" i="15"/>
  <c r="N137" i="15"/>
  <c r="M137" i="15"/>
  <c r="M135" i="15" s="1"/>
  <c r="L137" i="15"/>
  <c r="P136" i="15"/>
  <c r="O136" i="15"/>
  <c r="P133" i="15"/>
  <c r="N133" i="15"/>
  <c r="M133" i="15"/>
  <c r="L133" i="15"/>
  <c r="J130" i="15"/>
  <c r="N127" i="15"/>
  <c r="N125" i="15" s="1"/>
  <c r="M127" i="15"/>
  <c r="P127" i="15" s="1"/>
  <c r="L127" i="15"/>
  <c r="P126" i="15"/>
  <c r="O126" i="15"/>
  <c r="N124" i="15"/>
  <c r="N122" i="15" s="1"/>
  <c r="M124" i="15"/>
  <c r="P124" i="15" s="1"/>
  <c r="L124" i="15"/>
  <c r="L122" i="15" s="1"/>
  <c r="O122" i="15" s="1"/>
  <c r="P123" i="15"/>
  <c r="O123" i="15"/>
  <c r="O120" i="15"/>
  <c r="N120" i="15"/>
  <c r="M120" i="15"/>
  <c r="P120" i="15" s="1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J98" i="15"/>
  <c r="I98" i="15"/>
  <c r="K98" i="15" s="1"/>
  <c r="N96" i="15"/>
  <c r="M96" i="15"/>
  <c r="L96" i="15"/>
  <c r="O96" i="15" s="1"/>
  <c r="P95" i="15"/>
  <c r="O95" i="15"/>
  <c r="N93" i="15"/>
  <c r="N91" i="15" s="1"/>
  <c r="M93" i="15"/>
  <c r="L93" i="15"/>
  <c r="L91" i="15" s="1"/>
  <c r="P92" i="15"/>
  <c r="O92" i="15"/>
  <c r="N89" i="15"/>
  <c r="M89" i="15"/>
  <c r="L89" i="15"/>
  <c r="O89" i="15" s="1"/>
  <c r="J87" i="15"/>
  <c r="J86" i="15"/>
  <c r="I84" i="15"/>
  <c r="K84" i="15" s="1"/>
  <c r="I83" i="15"/>
  <c r="K83" i="15" s="1"/>
  <c r="I82" i="15"/>
  <c r="I81" i="15"/>
  <c r="K81" i="15" s="1"/>
  <c r="I80" i="15"/>
  <c r="K80" i="15" s="1"/>
  <c r="I79" i="15"/>
  <c r="I78" i="15"/>
  <c r="K78" i="15" s="1"/>
  <c r="J77" i="15"/>
  <c r="J76" i="15"/>
  <c r="J64" i="15" s="1"/>
  <c r="N74" i="15"/>
  <c r="N72" i="15" s="1"/>
  <c r="M74" i="15"/>
  <c r="P74" i="15" s="1"/>
  <c r="L74" i="15"/>
  <c r="P73" i="15"/>
  <c r="O73" i="15"/>
  <c r="N71" i="15"/>
  <c r="N69" i="15" s="1"/>
  <c r="M71" i="15"/>
  <c r="L71" i="15"/>
  <c r="P70" i="15"/>
  <c r="O70" i="15"/>
  <c r="P67" i="15"/>
  <c r="N67" i="15"/>
  <c r="M67" i="15"/>
  <c r="L67" i="15"/>
  <c r="J65" i="15"/>
  <c r="N61" i="15"/>
  <c r="N59" i="15" s="1"/>
  <c r="M61" i="15"/>
  <c r="P61" i="15" s="1"/>
  <c r="L61" i="15"/>
  <c r="O61" i="15" s="1"/>
  <c r="P60" i="15"/>
  <c r="O60" i="15"/>
  <c r="N58" i="15"/>
  <c r="M58" i="15"/>
  <c r="M56" i="15" s="1"/>
  <c r="L58" i="15"/>
  <c r="L56" i="15" s="1"/>
  <c r="P57" i="15"/>
  <c r="O57" i="15"/>
  <c r="O54" i="15"/>
  <c r="N54" i="15"/>
  <c r="M54" i="15"/>
  <c r="P54" i="15" s="1"/>
  <c r="L54" i="15"/>
  <c r="N49" i="15"/>
  <c r="N47" i="15" s="1"/>
  <c r="M49" i="15"/>
  <c r="P49" i="15" s="1"/>
  <c r="L49" i="15"/>
  <c r="P48" i="15"/>
  <c r="O48" i="15"/>
  <c r="N46" i="15"/>
  <c r="M46" i="15"/>
  <c r="M44" i="15" s="1"/>
  <c r="L46" i="15"/>
  <c r="P45" i="15"/>
  <c r="O45" i="15"/>
  <c r="P42" i="15"/>
  <c r="O42" i="15"/>
  <c r="N42" i="15"/>
  <c r="M42" i="15"/>
  <c r="L42" i="15"/>
  <c r="N36" i="15"/>
  <c r="M36" i="15"/>
  <c r="P36" i="15" s="1"/>
  <c r="N35" i="15"/>
  <c r="N34" i="15" s="1"/>
  <c r="M35" i="15"/>
  <c r="P35" i="15" s="1"/>
  <c r="L35" i="15"/>
  <c r="O35" i="15" s="1"/>
  <c r="P32" i="15"/>
  <c r="O32" i="15"/>
  <c r="N32" i="15"/>
  <c r="N29" i="15" s="1"/>
  <c r="M32" i="15"/>
  <c r="L32" i="15"/>
  <c r="M29" i="15"/>
  <c r="P29" i="15" s="1"/>
  <c r="L29" i="15"/>
  <c r="O29" i="15" s="1"/>
  <c r="P25" i="15"/>
  <c r="O25" i="15"/>
  <c r="N25" i="15"/>
  <c r="M25" i="15"/>
  <c r="L25" i="15"/>
  <c r="N22" i="15"/>
  <c r="M22" i="15"/>
  <c r="P22" i="15" s="1"/>
  <c r="L22" i="15"/>
  <c r="O22" i="15" s="1"/>
  <c r="N19" i="15"/>
  <c r="N15" i="15"/>
  <c r="M15" i="15"/>
  <c r="P15" i="15" s="1"/>
  <c r="L15" i="15"/>
  <c r="O15" i="15" s="1"/>
  <c r="N12" i="15"/>
  <c r="N9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O815" i="14"/>
  <c r="N815" i="14"/>
  <c r="M815" i="14"/>
  <c r="P815" i="14" s="1"/>
  <c r="L815" i="14"/>
  <c r="P810" i="14"/>
  <c r="O810" i="14"/>
  <c r="N810" i="14"/>
  <c r="N807" i="14" s="1"/>
  <c r="N805" i="14" s="1"/>
  <c r="P809" i="14"/>
  <c r="O809" i="14"/>
  <c r="M808" i="14"/>
  <c r="P808" i="14" s="1"/>
  <c r="L808" i="14"/>
  <c r="O808" i="14" s="1"/>
  <c r="P807" i="14"/>
  <c r="M807" i="14"/>
  <c r="L807" i="14"/>
  <c r="O807" i="14" s="1"/>
  <c r="P806" i="14"/>
  <c r="O806" i="14"/>
  <c r="N806" i="14"/>
  <c r="M806" i="14"/>
  <c r="M805" i="14" s="1"/>
  <c r="P805" i="14" s="1"/>
  <c r="L806" i="14"/>
  <c r="L805" i="14" s="1"/>
  <c r="O805" i="14" s="1"/>
  <c r="K804" i="14"/>
  <c r="J804" i="14"/>
  <c r="K802" i="14"/>
  <c r="J801" i="14"/>
  <c r="J800" i="14"/>
  <c r="J785" i="14" s="1"/>
  <c r="I800" i="14"/>
  <c r="K800" i="14" s="1"/>
  <c r="P798" i="14"/>
  <c r="O798" i="14"/>
  <c r="P797" i="14"/>
  <c r="O797" i="14"/>
  <c r="N796" i="14"/>
  <c r="M796" i="14"/>
  <c r="P796" i="14" s="1"/>
  <c r="L796" i="14"/>
  <c r="O796" i="14" s="1"/>
  <c r="P791" i="14"/>
  <c r="N791" i="14"/>
  <c r="N788" i="14" s="1"/>
  <c r="N786" i="14" s="1"/>
  <c r="L791" i="14"/>
  <c r="O791" i="14" s="1"/>
  <c r="P790" i="14"/>
  <c r="O790" i="14"/>
  <c r="N789" i="14"/>
  <c r="M789" i="14"/>
  <c r="P789" i="14" s="1"/>
  <c r="P788" i="14"/>
  <c r="M788" i="14"/>
  <c r="P787" i="14"/>
  <c r="O787" i="14"/>
  <c r="N787" i="14"/>
  <c r="M787" i="14"/>
  <c r="M786" i="14" s="1"/>
  <c r="P786" i="14" s="1"/>
  <c r="L787" i="14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N773" i="14" s="1"/>
  <c r="P774" i="14"/>
  <c r="O774" i="14"/>
  <c r="M773" i="14"/>
  <c r="P773" i="14" s="1"/>
  <c r="L773" i="14"/>
  <c r="O773" i="14" s="1"/>
  <c r="M772" i="14"/>
  <c r="P772" i="14" s="1"/>
  <c r="L772" i="14"/>
  <c r="O772" i="14" s="1"/>
  <c r="P771" i="14"/>
  <c r="N771" i="14"/>
  <c r="M771" i="14"/>
  <c r="M770" i="14" s="1"/>
  <c r="P770" i="14" s="1"/>
  <c r="L771" i="14"/>
  <c r="O771" i="14" s="1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N757" i="14" s="1"/>
  <c r="P758" i="14"/>
  <c r="O758" i="14"/>
  <c r="M757" i="14"/>
  <c r="P757" i="14" s="1"/>
  <c r="L757" i="14"/>
  <c r="O757" i="14" s="1"/>
  <c r="M756" i="14"/>
  <c r="P756" i="14" s="1"/>
  <c r="L756" i="14"/>
  <c r="O756" i="14" s="1"/>
  <c r="P755" i="14"/>
  <c r="N755" i="14"/>
  <c r="M755" i="14"/>
  <c r="M754" i="14" s="1"/>
  <c r="P754" i="14" s="1"/>
  <c r="L755" i="14"/>
  <c r="O755" i="14" s="1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N740" i="14" s="1"/>
  <c r="P741" i="14"/>
  <c r="O741" i="14"/>
  <c r="M740" i="14"/>
  <c r="P740" i="14" s="1"/>
  <c r="L740" i="14"/>
  <c r="O740" i="14" s="1"/>
  <c r="M739" i="14"/>
  <c r="P739" i="14" s="1"/>
  <c r="L739" i="14"/>
  <c r="O739" i="14" s="1"/>
  <c r="P738" i="14"/>
  <c r="N738" i="14"/>
  <c r="M738" i="14"/>
  <c r="L738" i="14"/>
  <c r="O738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P690" i="14"/>
  <c r="N690" i="14"/>
  <c r="N687" i="14" s="1"/>
  <c r="N685" i="14" s="1"/>
  <c r="L690" i="14"/>
  <c r="O690" i="14" s="1"/>
  <c r="M688" i="14"/>
  <c r="P688" i="14" s="1"/>
  <c r="P687" i="14"/>
  <c r="M687" i="14"/>
  <c r="P686" i="14"/>
  <c r="O686" i="14"/>
  <c r="N686" i="14"/>
  <c r="M686" i="14"/>
  <c r="L686" i="14"/>
  <c r="P685" i="14"/>
  <c r="M685" i="14"/>
  <c r="J679" i="14"/>
  <c r="J678" i="14"/>
  <c r="I678" i="14"/>
  <c r="K678" i="14" s="1"/>
  <c r="J675" i="14"/>
  <c r="I671" i="14"/>
  <c r="K671" i="14" s="1"/>
  <c r="I670" i="14"/>
  <c r="K670" i="14" s="1"/>
  <c r="J669" i="14"/>
  <c r="J654" i="14" s="1"/>
  <c r="I669" i="14"/>
  <c r="K673" i="14" s="1"/>
  <c r="P667" i="14"/>
  <c r="O667" i="14"/>
  <c r="P666" i="14"/>
  <c r="O666" i="14"/>
  <c r="P665" i="14"/>
  <c r="O665" i="14"/>
  <c r="N665" i="14"/>
  <c r="M665" i="14"/>
  <c r="L665" i="14"/>
  <c r="N660" i="14"/>
  <c r="N658" i="14" s="1"/>
  <c r="L660" i="14"/>
  <c r="M660" i="14" s="1"/>
  <c r="P659" i="14"/>
  <c r="O659" i="14"/>
  <c r="N657" i="14"/>
  <c r="O656" i="14"/>
  <c r="N656" i="14"/>
  <c r="N655" i="14" s="1"/>
  <c r="M656" i="14"/>
  <c r="P656" i="14" s="1"/>
  <c r="L656" i="14"/>
  <c r="K652" i="14"/>
  <c r="J652" i="14"/>
  <c r="J651" i="14"/>
  <c r="J628" i="14" s="1"/>
  <c r="I651" i="14"/>
  <c r="I628" i="14" s="1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N639" i="14"/>
  <c r="M639" i="14"/>
  <c r="P639" i="14" s="1"/>
  <c r="N634" i="14"/>
  <c r="L634" i="14"/>
  <c r="M634" i="14" s="1"/>
  <c r="P633" i="14"/>
  <c r="O633" i="14"/>
  <c r="N632" i="14"/>
  <c r="N631" i="14"/>
  <c r="P630" i="14"/>
  <c r="N630" i="14"/>
  <c r="M630" i="14"/>
  <c r="L630" i="14"/>
  <c r="O630" i="14" s="1"/>
  <c r="N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3" i="14" s="1"/>
  <c r="J592" i="14" s="1"/>
  <c r="J594" i="14"/>
  <c r="I594" i="14"/>
  <c r="K594" i="14" s="1"/>
  <c r="I593" i="14"/>
  <c r="I592" i="14" s="1"/>
  <c r="K592" i="14" s="1"/>
  <c r="J583" i="14"/>
  <c r="J582" i="14"/>
  <c r="J577" i="14"/>
  <c r="I577" i="14"/>
  <c r="K577" i="14" s="1"/>
  <c r="J576" i="14"/>
  <c r="I576" i="14"/>
  <c r="I559" i="14" s="1"/>
  <c r="K559" i="14" s="1"/>
  <c r="J569" i="14"/>
  <c r="I569" i="14"/>
  <c r="K569" i="14" s="1"/>
  <c r="J568" i="14"/>
  <c r="I568" i="14"/>
  <c r="J561" i="14"/>
  <c r="I561" i="14"/>
  <c r="K561" i="14" s="1"/>
  <c r="J560" i="14"/>
  <c r="I560" i="14"/>
  <c r="J559" i="14"/>
  <c r="J543" i="14" s="1"/>
  <c r="P557" i="14"/>
  <c r="L557" i="14"/>
  <c r="L555" i="14" s="1"/>
  <c r="O555" i="14" s="1"/>
  <c r="P556" i="14"/>
  <c r="O556" i="14"/>
  <c r="P555" i="14"/>
  <c r="N555" i="14"/>
  <c r="M555" i="14"/>
  <c r="N549" i="14"/>
  <c r="N547" i="14" s="1"/>
  <c r="L549" i="14"/>
  <c r="O549" i="14" s="1"/>
  <c r="P548" i="14"/>
  <c r="O548" i="14"/>
  <c r="N546" i="14"/>
  <c r="P545" i="14"/>
  <c r="O545" i="14"/>
  <c r="N545" i="14"/>
  <c r="M545" i="14"/>
  <c r="L545" i="14"/>
  <c r="N544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I522" i="14" s="1"/>
  <c r="K522" i="14" s="1"/>
  <c r="P535" i="14"/>
  <c r="L535" i="14"/>
  <c r="L533" i="14" s="1"/>
  <c r="O533" i="14" s="1"/>
  <c r="P534" i="14"/>
  <c r="O534" i="14"/>
  <c r="P533" i="14"/>
  <c r="N533" i="14"/>
  <c r="M533" i="14"/>
  <c r="P528" i="14"/>
  <c r="N528" i="14"/>
  <c r="L528" i="14"/>
  <c r="O528" i="14" s="1"/>
  <c r="P527" i="14"/>
  <c r="O527" i="14"/>
  <c r="P526" i="14"/>
  <c r="N526" i="14"/>
  <c r="M526" i="14"/>
  <c r="N525" i="14"/>
  <c r="M525" i="14"/>
  <c r="P525" i="14" s="1"/>
  <c r="N524" i="14"/>
  <c r="N523" i="14" s="1"/>
  <c r="M524" i="14"/>
  <c r="M523" i="14" s="1"/>
  <c r="P523" i="14" s="1"/>
  <c r="L524" i="14"/>
  <c r="O524" i="14" s="1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N505" i="14" s="1"/>
  <c r="P506" i="14"/>
  <c r="O506" i="14"/>
  <c r="M505" i="14"/>
  <c r="P505" i="14" s="1"/>
  <c r="L505" i="14"/>
  <c r="O505" i="14" s="1"/>
  <c r="M504" i="14"/>
  <c r="P504" i="14" s="1"/>
  <c r="L504" i="14"/>
  <c r="O504" i="14" s="1"/>
  <c r="P503" i="14"/>
  <c r="N503" i="14"/>
  <c r="M503" i="14"/>
  <c r="L503" i="14"/>
  <c r="O503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N477" i="14"/>
  <c r="M477" i="14"/>
  <c r="P477" i="14" s="1"/>
  <c r="N472" i="14"/>
  <c r="L472" i="14"/>
  <c r="L470" i="14" s="1"/>
  <c r="O470" i="14" s="1"/>
  <c r="P471" i="14"/>
  <c r="O471" i="14"/>
  <c r="N470" i="14"/>
  <c r="N469" i="14"/>
  <c r="N467" i="14" s="1"/>
  <c r="N468" i="14"/>
  <c r="M468" i="14"/>
  <c r="P468" i="14" s="1"/>
  <c r="L468" i="14"/>
  <c r="J466" i="14"/>
  <c r="I466" i="14"/>
  <c r="K466" i="14" s="1"/>
  <c r="J465" i="14"/>
  <c r="I465" i="14"/>
  <c r="K465" i="14" s="1"/>
  <c r="I464" i="14"/>
  <c r="K464" i="14" s="1"/>
  <c r="I463" i="14"/>
  <c r="K463" i="14" s="1"/>
  <c r="I462" i="14"/>
  <c r="K462" i="14" s="1"/>
  <c r="I460" i="14"/>
  <c r="I442" i="14" s="1"/>
  <c r="K442" i="14" s="1"/>
  <c r="K458" i="14"/>
  <c r="P456" i="14"/>
  <c r="L456" i="14"/>
  <c r="O456" i="14" s="1"/>
  <c r="P455" i="14"/>
  <c r="O455" i="14"/>
  <c r="N454" i="14"/>
  <c r="M454" i="14"/>
  <c r="P454" i="14" s="1"/>
  <c r="N449" i="14"/>
  <c r="L449" i="14"/>
  <c r="O449" i="14" s="1"/>
  <c r="P448" i="14"/>
  <c r="O448" i="14"/>
  <c r="N447" i="14"/>
  <c r="N446" i="14"/>
  <c r="P445" i="14"/>
  <c r="O445" i="14"/>
  <c r="N445" i="14"/>
  <c r="M445" i="14"/>
  <c r="L445" i="14"/>
  <c r="N444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K435" i="14" s="1"/>
  <c r="J434" i="14"/>
  <c r="P431" i="14"/>
  <c r="L431" i="14"/>
  <c r="O431" i="14" s="1"/>
  <c r="P430" i="14"/>
  <c r="O430" i="14"/>
  <c r="N429" i="14"/>
  <c r="M429" i="14"/>
  <c r="P429" i="14" s="1"/>
  <c r="N424" i="14"/>
  <c r="L424" i="14"/>
  <c r="M424" i="14" s="1"/>
  <c r="P423" i="14"/>
  <c r="O423" i="14"/>
  <c r="N422" i="14"/>
  <c r="N421" i="14"/>
  <c r="P420" i="14"/>
  <c r="N420" i="14"/>
  <c r="M420" i="14"/>
  <c r="L420" i="14"/>
  <c r="O420" i="14" s="1"/>
  <c r="N419" i="14"/>
  <c r="J418" i="14"/>
  <c r="K413" i="14"/>
  <c r="K412" i="14"/>
  <c r="N410" i="14"/>
  <c r="N408" i="14" s="1"/>
  <c r="M410" i="14"/>
  <c r="P410" i="14" s="1"/>
  <c r="L410" i="14"/>
  <c r="O410" i="14" s="1"/>
  <c r="P409" i="14"/>
  <c r="O409" i="14"/>
  <c r="N407" i="14"/>
  <c r="M407" i="14"/>
  <c r="M405" i="14" s="1"/>
  <c r="P405" i="14" s="1"/>
  <c r="L407" i="14"/>
  <c r="O407" i="14" s="1"/>
  <c r="P406" i="14"/>
  <c r="O406" i="14"/>
  <c r="P403" i="14"/>
  <c r="O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P397" i="14" s="1"/>
  <c r="L397" i="14"/>
  <c r="L395" i="14" s="1"/>
  <c r="O395" i="14" s="1"/>
  <c r="P396" i="14"/>
  <c r="O396" i="14"/>
  <c r="N394" i="14"/>
  <c r="N392" i="14" s="1"/>
  <c r="M394" i="14"/>
  <c r="P394" i="14" s="1"/>
  <c r="L394" i="14"/>
  <c r="L392" i="14" s="1"/>
  <c r="O392" i="14" s="1"/>
  <c r="P393" i="14"/>
  <c r="O393" i="14"/>
  <c r="P390" i="14"/>
  <c r="N390" i="14"/>
  <c r="M390" i="14"/>
  <c r="L390" i="14"/>
  <c r="O390" i="14" s="1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N348" i="14" s="1"/>
  <c r="M350" i="14"/>
  <c r="L350" i="14"/>
  <c r="L348" i="14" s="1"/>
  <c r="P349" i="14"/>
  <c r="O349" i="14"/>
  <c r="P346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L334" i="14" s="1"/>
  <c r="O334" i="14" s="1"/>
  <c r="P335" i="14"/>
  <c r="O335" i="14"/>
  <c r="N333" i="14"/>
  <c r="N331" i="14" s="1"/>
  <c r="M333" i="14"/>
  <c r="M331" i="14" s="1"/>
  <c r="L333" i="14"/>
  <c r="P332" i="14"/>
  <c r="O332" i="14"/>
  <c r="N329" i="14"/>
  <c r="M329" i="14"/>
  <c r="P329" i="14" s="1"/>
  <c r="L329" i="14"/>
  <c r="O329" i="14" s="1"/>
  <c r="I327" i="14"/>
  <c r="I325" i="14"/>
  <c r="K325" i="14" s="1"/>
  <c r="N323" i="14"/>
  <c r="N321" i="14" s="1"/>
  <c r="M323" i="14"/>
  <c r="L323" i="14"/>
  <c r="O323" i="14" s="1"/>
  <c r="P322" i="14"/>
  <c r="O322" i="14"/>
  <c r="N320" i="14"/>
  <c r="N318" i="14" s="1"/>
  <c r="M320" i="14"/>
  <c r="P320" i="14" s="1"/>
  <c r="L320" i="14"/>
  <c r="O320" i="14" s="1"/>
  <c r="P319" i="14"/>
  <c r="O319" i="14"/>
  <c r="N316" i="14"/>
  <c r="M316" i="14"/>
  <c r="L316" i="14"/>
  <c r="O316" i="14" s="1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M304" i="14" s="1"/>
  <c r="P304" i="14" s="1"/>
  <c r="L306" i="14"/>
  <c r="O306" i="14" s="1"/>
  <c r="P305" i="14"/>
  <c r="O305" i="14"/>
  <c r="N303" i="14"/>
  <c r="M303" i="14"/>
  <c r="L303" i="14"/>
  <c r="L301" i="14" s="1"/>
  <c r="P302" i="14"/>
  <c r="O302" i="14"/>
  <c r="O299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75" i="14" s="1"/>
  <c r="I287" i="14"/>
  <c r="K287" i="14" s="1"/>
  <c r="N285" i="14"/>
  <c r="N283" i="14" s="1"/>
  <c r="M285" i="14"/>
  <c r="L285" i="14"/>
  <c r="P284" i="14"/>
  <c r="O284" i="14"/>
  <c r="N282" i="14"/>
  <c r="N280" i="14" s="1"/>
  <c r="M282" i="14"/>
  <c r="M280" i="14" s="1"/>
  <c r="L282" i="14"/>
  <c r="P281" i="14"/>
  <c r="O281" i="14"/>
  <c r="N278" i="14"/>
  <c r="M278" i="14"/>
  <c r="P278" i="14" s="1"/>
  <c r="L278" i="14"/>
  <c r="O278" i="14" s="1"/>
  <c r="J276" i="14"/>
  <c r="I271" i="14"/>
  <c r="K271" i="14" s="1"/>
  <c r="N269" i="14"/>
  <c r="M269" i="14"/>
  <c r="L269" i="14"/>
  <c r="P268" i="14"/>
  <c r="O268" i="14"/>
  <c r="N266" i="14"/>
  <c r="M266" i="14"/>
  <c r="M264" i="14" s="1"/>
  <c r="L266" i="14"/>
  <c r="L264" i="14" s="1"/>
  <c r="P265" i="14"/>
  <c r="O265" i="14"/>
  <c r="N262" i="14"/>
  <c r="M262" i="14"/>
  <c r="L262" i="14"/>
  <c r="O262" i="14" s="1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N227" i="14"/>
  <c r="J226" i="14"/>
  <c r="J180" i="14" s="1"/>
  <c r="I225" i="14"/>
  <c r="K225" i="14" s="1"/>
  <c r="I224" i="14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5" i="14"/>
  <c r="J194" i="14"/>
  <c r="I193" i="14"/>
  <c r="K193" i="14" s="1"/>
  <c r="P191" i="14"/>
  <c r="L191" i="14"/>
  <c r="O191" i="14" s="1"/>
  <c r="J190" i="14"/>
  <c r="N189" i="14"/>
  <c r="N187" i="14" s="1"/>
  <c r="M189" i="14"/>
  <c r="L189" i="14"/>
  <c r="P188" i="14"/>
  <c r="O188" i="14"/>
  <c r="N186" i="14"/>
  <c r="M186" i="14"/>
  <c r="L186" i="14"/>
  <c r="P185" i="14"/>
  <c r="O185" i="14"/>
  <c r="P182" i="14"/>
  <c r="N182" i="14"/>
  <c r="M182" i="14"/>
  <c r="L182" i="14"/>
  <c r="J177" i="14"/>
  <c r="J164" i="14" s="1"/>
  <c r="I176" i="14"/>
  <c r="K176" i="14" s="1"/>
  <c r="J174" i="14"/>
  <c r="N173" i="14"/>
  <c r="N171" i="14" s="1"/>
  <c r="M173" i="14"/>
  <c r="L173" i="14"/>
  <c r="L171" i="14" s="1"/>
  <c r="O171" i="14" s="1"/>
  <c r="P172" i="14"/>
  <c r="O172" i="14"/>
  <c r="N170" i="14"/>
  <c r="N168" i="14" s="1"/>
  <c r="M170" i="14"/>
  <c r="L170" i="14"/>
  <c r="L168" i="14" s="1"/>
  <c r="P169" i="14"/>
  <c r="O169" i="14"/>
  <c r="P166" i="14"/>
  <c r="N166" i="14"/>
  <c r="M166" i="14"/>
  <c r="L166" i="14"/>
  <c r="I159" i="14"/>
  <c r="K159" i="14" s="1"/>
  <c r="N157" i="14"/>
  <c r="N155" i="14" s="1"/>
  <c r="M157" i="14"/>
  <c r="P157" i="14" s="1"/>
  <c r="L157" i="14"/>
  <c r="P156" i="14"/>
  <c r="O156" i="14"/>
  <c r="N154" i="14"/>
  <c r="N152" i="14" s="1"/>
  <c r="M154" i="14"/>
  <c r="M152" i="14" s="1"/>
  <c r="L154" i="14"/>
  <c r="L152" i="14" s="1"/>
  <c r="O152" i="14" s="1"/>
  <c r="P153" i="14"/>
  <c r="O153" i="14"/>
  <c r="N150" i="14"/>
  <c r="M150" i="14"/>
  <c r="P150" i="14" s="1"/>
  <c r="L150" i="14"/>
  <c r="O150" i="14" s="1"/>
  <c r="J148" i="14"/>
  <c r="I146" i="14"/>
  <c r="I145" i="14"/>
  <c r="K145" i="14" s="1"/>
  <c r="I144" i="14"/>
  <c r="K144" i="14" s="1"/>
  <c r="N140" i="14"/>
  <c r="N138" i="14" s="1"/>
  <c r="M140" i="14"/>
  <c r="P140" i="14" s="1"/>
  <c r="L140" i="14"/>
  <c r="P139" i="14"/>
  <c r="O139" i="14"/>
  <c r="N137" i="14"/>
  <c r="M137" i="14"/>
  <c r="P137" i="14" s="1"/>
  <c r="L137" i="14"/>
  <c r="P136" i="14"/>
  <c r="O136" i="14"/>
  <c r="P133" i="14"/>
  <c r="O133" i="14"/>
  <c r="N133" i="14"/>
  <c r="M133" i="14"/>
  <c r="L133" i="14"/>
  <c r="J130" i="14"/>
  <c r="N127" i="14"/>
  <c r="M127" i="14"/>
  <c r="P127" i="14" s="1"/>
  <c r="L127" i="14"/>
  <c r="L125" i="14" s="1"/>
  <c r="O125" i="14" s="1"/>
  <c r="P126" i="14"/>
  <c r="O126" i="14"/>
  <c r="N124" i="14"/>
  <c r="N122" i="14" s="1"/>
  <c r="M124" i="14"/>
  <c r="P124" i="14" s="1"/>
  <c r="L124" i="14"/>
  <c r="L122" i="14" s="1"/>
  <c r="O122" i="14" s="1"/>
  <c r="P123" i="14"/>
  <c r="O123" i="14"/>
  <c r="N120" i="14"/>
  <c r="M120" i="14"/>
  <c r="P120" i="14" s="1"/>
  <c r="L120" i="14"/>
  <c r="O120" i="14" s="1"/>
  <c r="I116" i="14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J86" i="14" s="1"/>
  <c r="I98" i="14"/>
  <c r="N96" i="14"/>
  <c r="M96" i="14"/>
  <c r="L96" i="14"/>
  <c r="O96" i="14" s="1"/>
  <c r="P95" i="14"/>
  <c r="O95" i="14"/>
  <c r="N93" i="14"/>
  <c r="N91" i="14" s="1"/>
  <c r="M93" i="14"/>
  <c r="L93" i="14"/>
  <c r="L91" i="14" s="1"/>
  <c r="P92" i="14"/>
  <c r="O92" i="14"/>
  <c r="P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I80" i="14"/>
  <c r="I79" i="14"/>
  <c r="K79" i="14" s="1"/>
  <c r="I78" i="14"/>
  <c r="K78" i="14" s="1"/>
  <c r="J77" i="14"/>
  <c r="J76" i="14"/>
  <c r="J64" i="14" s="1"/>
  <c r="N74" i="14"/>
  <c r="M74" i="14"/>
  <c r="M72" i="14" s="1"/>
  <c r="P72" i="14" s="1"/>
  <c r="L74" i="14"/>
  <c r="P73" i="14"/>
  <c r="O73" i="14"/>
  <c r="N71" i="14"/>
  <c r="N69" i="14" s="1"/>
  <c r="M71" i="14"/>
  <c r="M69" i="14" s="1"/>
  <c r="L71" i="14"/>
  <c r="P70" i="14"/>
  <c r="O70" i="14"/>
  <c r="P67" i="14"/>
  <c r="O67" i="14"/>
  <c r="N67" i="14"/>
  <c r="M67" i="14"/>
  <c r="L67" i="14"/>
  <c r="J65" i="14"/>
  <c r="N61" i="14"/>
  <c r="N59" i="14" s="1"/>
  <c r="M61" i="14"/>
  <c r="L61" i="14"/>
  <c r="L59" i="14" s="1"/>
  <c r="P60" i="14"/>
  <c r="O60" i="14"/>
  <c r="N58" i="14"/>
  <c r="N56" i="14" s="1"/>
  <c r="M58" i="14"/>
  <c r="M56" i="14" s="1"/>
  <c r="L58" i="14"/>
  <c r="L56" i="14" s="1"/>
  <c r="P57" i="14"/>
  <c r="O57" i="14"/>
  <c r="N54" i="14"/>
  <c r="M54" i="14"/>
  <c r="P54" i="14" s="1"/>
  <c r="L54" i="14"/>
  <c r="O54" i="14" s="1"/>
  <c r="N49" i="14"/>
  <c r="N47" i="14" s="1"/>
  <c r="M49" i="14"/>
  <c r="P49" i="14" s="1"/>
  <c r="L49" i="14"/>
  <c r="P48" i="14"/>
  <c r="O48" i="14"/>
  <c r="N46" i="14"/>
  <c r="M46" i="14"/>
  <c r="M44" i="14" s="1"/>
  <c r="L46" i="14"/>
  <c r="P45" i="14"/>
  <c r="O45" i="14"/>
  <c r="P42" i="14"/>
  <c r="O42" i="14"/>
  <c r="N42" i="14"/>
  <c r="M42" i="14"/>
  <c r="L42" i="14"/>
  <c r="N36" i="14"/>
  <c r="N30" i="14" s="1"/>
  <c r="M36" i="14"/>
  <c r="P36" i="14" s="1"/>
  <c r="N35" i="14"/>
  <c r="M35" i="14"/>
  <c r="L35" i="14"/>
  <c r="O35" i="14" s="1"/>
  <c r="N33" i="14"/>
  <c r="P32" i="14"/>
  <c r="O32" i="14"/>
  <c r="N32" i="14"/>
  <c r="N29" i="14" s="1"/>
  <c r="M32" i="14"/>
  <c r="L32" i="14"/>
  <c r="N31" i="14"/>
  <c r="M29" i="14"/>
  <c r="L29" i="14"/>
  <c r="O29" i="14" s="1"/>
  <c r="P25" i="14"/>
  <c r="O25" i="14"/>
  <c r="N25" i="14"/>
  <c r="M25" i="14"/>
  <c r="L25" i="14"/>
  <c r="N22" i="14"/>
  <c r="M22" i="14"/>
  <c r="L22" i="14"/>
  <c r="O22" i="14" s="1"/>
  <c r="N19" i="14"/>
  <c r="M15" i="14"/>
  <c r="L15" i="14"/>
  <c r="O15" i="14" s="1"/>
  <c r="N12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N805" i="13" s="1"/>
  <c r="P809" i="13"/>
  <c r="O809" i="13"/>
  <c r="P808" i="13"/>
  <c r="N808" i="13"/>
  <c r="M808" i="13"/>
  <c r="L808" i="13"/>
  <c r="O808" i="13" s="1"/>
  <c r="O807" i="13"/>
  <c r="M807" i="13"/>
  <c r="L807" i="13"/>
  <c r="P806" i="13"/>
  <c r="N806" i="13"/>
  <c r="M806" i="13"/>
  <c r="L806" i="13"/>
  <c r="K804" i="13"/>
  <c r="J804" i="13"/>
  <c r="J803" i="13"/>
  <c r="I803" i="13"/>
  <c r="K803" i="13" s="1"/>
  <c r="J802" i="13"/>
  <c r="J801" i="13"/>
  <c r="I801" i="13"/>
  <c r="J800" i="13"/>
  <c r="P798" i="13"/>
  <c r="O798" i="13"/>
  <c r="P797" i="13"/>
  <c r="O797" i="13"/>
  <c r="P796" i="13"/>
  <c r="N796" i="13"/>
  <c r="M796" i="13"/>
  <c r="L796" i="13"/>
  <c r="O796" i="13" s="1"/>
  <c r="N795" i="13"/>
  <c r="N791" i="13"/>
  <c r="N789" i="13" s="1"/>
  <c r="L791" i="13"/>
  <c r="P790" i="13"/>
  <c r="O790" i="13"/>
  <c r="N788" i="13"/>
  <c r="O787" i="13"/>
  <c r="N787" i="13"/>
  <c r="M787" i="13"/>
  <c r="P787" i="13" s="1"/>
  <c r="L787" i="13"/>
  <c r="N786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2" i="13" s="1"/>
  <c r="N770" i="13" s="1"/>
  <c r="P774" i="13"/>
  <c r="O774" i="13"/>
  <c r="P773" i="13"/>
  <c r="N773" i="13"/>
  <c r="M773" i="13"/>
  <c r="L773" i="13"/>
  <c r="O773" i="13" s="1"/>
  <c r="O772" i="13"/>
  <c r="M772" i="13"/>
  <c r="L772" i="13"/>
  <c r="P771" i="13"/>
  <c r="N771" i="13"/>
  <c r="M771" i="13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N754" i="13" s="1"/>
  <c r="P758" i="13"/>
  <c r="O758" i="13"/>
  <c r="P757" i="13"/>
  <c r="N757" i="13"/>
  <c r="M757" i="13"/>
  <c r="L757" i="13"/>
  <c r="O757" i="13" s="1"/>
  <c r="O756" i="13"/>
  <c r="M756" i="13"/>
  <c r="L756" i="13"/>
  <c r="P755" i="13"/>
  <c r="N755" i="13"/>
  <c r="M755" i="13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N737" i="13" s="1"/>
  <c r="P741" i="13"/>
  <c r="O741" i="13"/>
  <c r="P740" i="13"/>
  <c r="N740" i="13"/>
  <c r="M740" i="13"/>
  <c r="L740" i="13"/>
  <c r="O740" i="13" s="1"/>
  <c r="O739" i="13"/>
  <c r="M739" i="13"/>
  <c r="L739" i="13"/>
  <c r="P738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N690" i="13"/>
  <c r="N687" i="13" s="1"/>
  <c r="N685" i="13" s="1"/>
  <c r="L690" i="13"/>
  <c r="N688" i="13"/>
  <c r="P686" i="13"/>
  <c r="N686" i="13"/>
  <c r="M686" i="13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K673" i="13" s="1"/>
  <c r="P667" i="13"/>
  <c r="O667" i="13"/>
  <c r="P666" i="13"/>
  <c r="O666" i="13"/>
  <c r="P665" i="13"/>
  <c r="N665" i="13"/>
  <c r="M665" i="13"/>
  <c r="L665" i="13"/>
  <c r="O665" i="13" s="1"/>
  <c r="N660" i="13"/>
  <c r="L660" i="13"/>
  <c r="L658" i="13" s="1"/>
  <c r="P659" i="13"/>
  <c r="O659" i="13"/>
  <c r="N657" i="13"/>
  <c r="P656" i="13"/>
  <c r="N656" i="13"/>
  <c r="N655" i="13" s="1"/>
  <c r="M656" i="13"/>
  <c r="L656" i="13"/>
  <c r="O656" i="13" s="1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N639" i="13"/>
  <c r="M639" i="13"/>
  <c r="P639" i="13" s="1"/>
  <c r="N638" i="13"/>
  <c r="N634" i="13" s="1"/>
  <c r="L634" i="13"/>
  <c r="M634" i="13" s="1"/>
  <c r="P633" i="13"/>
  <c r="O633" i="13"/>
  <c r="P630" i="13"/>
  <c r="N630" i="13"/>
  <c r="M630" i="13"/>
  <c r="L630" i="13"/>
  <c r="J621" i="13"/>
  <c r="I621" i="13"/>
  <c r="J620" i="13"/>
  <c r="I620" i="13"/>
  <c r="K613" i="13"/>
  <c r="J613" i="13"/>
  <c r="K612" i="13"/>
  <c r="J612" i="13"/>
  <c r="K611" i="13"/>
  <c r="J611" i="13"/>
  <c r="J604" i="13"/>
  <c r="J603" i="13"/>
  <c r="J596" i="13"/>
  <c r="J595" i="13"/>
  <c r="J593" i="13" s="1"/>
  <c r="J594" i="13"/>
  <c r="I594" i="13"/>
  <c r="K594" i="13" s="1"/>
  <c r="I593" i="13"/>
  <c r="I592" i="13" s="1"/>
  <c r="J583" i="13"/>
  <c r="J577" i="13" s="1"/>
  <c r="J582" i="13"/>
  <c r="I577" i="13"/>
  <c r="J576" i="13"/>
  <c r="J559" i="13" s="1"/>
  <c r="I576" i="13"/>
  <c r="I559" i="13" s="1"/>
  <c r="I543" i="13" s="1"/>
  <c r="J569" i="13"/>
  <c r="I569" i="13"/>
  <c r="J568" i="13"/>
  <c r="I568" i="13"/>
  <c r="K568" i="13" s="1"/>
  <c r="J561" i="13"/>
  <c r="I561" i="13"/>
  <c r="J560" i="13"/>
  <c r="I560" i="13"/>
  <c r="K560" i="13" s="1"/>
  <c r="P557" i="13"/>
  <c r="L557" i="13"/>
  <c r="P556" i="13"/>
  <c r="O556" i="13"/>
  <c r="P555" i="13"/>
  <c r="N555" i="13"/>
  <c r="N545" i="13" s="1"/>
  <c r="M555" i="13"/>
  <c r="L555" i="13"/>
  <c r="O555" i="13" s="1"/>
  <c r="N553" i="13"/>
  <c r="N549" i="13"/>
  <c r="N547" i="13" s="1"/>
  <c r="L549" i="13"/>
  <c r="M549" i="13" s="1"/>
  <c r="P548" i="13"/>
  <c r="O548" i="13"/>
  <c r="O545" i="13"/>
  <c r="M545" i="13"/>
  <c r="L545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O535" i="13" s="1"/>
  <c r="P534" i="13"/>
  <c r="O534" i="13"/>
  <c r="P533" i="13"/>
  <c r="N533" i="13"/>
  <c r="M533" i="13"/>
  <c r="L533" i="13"/>
  <c r="O533" i="13" s="1"/>
  <c r="P528" i="13"/>
  <c r="N528" i="13"/>
  <c r="L528" i="13"/>
  <c r="P527" i="13"/>
  <c r="O527" i="13"/>
  <c r="N526" i="13"/>
  <c r="M526" i="13"/>
  <c r="P526" i="13" s="1"/>
  <c r="P525" i="13"/>
  <c r="N525" i="13"/>
  <c r="M525" i="13"/>
  <c r="O524" i="13"/>
  <c r="N524" i="13"/>
  <c r="N523" i="13" s="1"/>
  <c r="M524" i="13"/>
  <c r="P524" i="13" s="1"/>
  <c r="L524" i="13"/>
  <c r="M523" i="13"/>
  <c r="P523" i="13" s="1"/>
  <c r="K517" i="13"/>
  <c r="J517" i="13"/>
  <c r="J501" i="13" s="1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P506" i="13"/>
  <c r="O506" i="13"/>
  <c r="O505" i="13"/>
  <c r="N505" i="13"/>
  <c r="M505" i="13"/>
  <c r="P505" i="13" s="1"/>
  <c r="L505" i="13"/>
  <c r="N504" i="13"/>
  <c r="N502" i="13" s="1"/>
  <c r="M504" i="13"/>
  <c r="P504" i="13" s="1"/>
  <c r="L504" i="13"/>
  <c r="O504" i="13" s="1"/>
  <c r="N503" i="13"/>
  <c r="M503" i="13"/>
  <c r="L503" i="13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P477" i="13"/>
  <c r="N477" i="13"/>
  <c r="M477" i="13"/>
  <c r="N476" i="13"/>
  <c r="N472" i="13"/>
  <c r="L472" i="13"/>
  <c r="P471" i="13"/>
  <c r="O471" i="13"/>
  <c r="O468" i="13"/>
  <c r="N468" i="13"/>
  <c r="M468" i="13"/>
  <c r="L468" i="13"/>
  <c r="J466" i="13"/>
  <c r="I466" i="13"/>
  <c r="J465" i="13"/>
  <c r="I465" i="13"/>
  <c r="I464" i="13"/>
  <c r="K464" i="13" s="1"/>
  <c r="I463" i="13"/>
  <c r="K463" i="13" s="1"/>
  <c r="I462" i="13"/>
  <c r="K462" i="13" s="1"/>
  <c r="I460" i="13"/>
  <c r="K460" i="13" s="1"/>
  <c r="K458" i="13"/>
  <c r="P456" i="13"/>
  <c r="L456" i="13"/>
  <c r="O456" i="13" s="1"/>
  <c r="P455" i="13"/>
  <c r="O455" i="13"/>
  <c r="N454" i="13"/>
  <c r="M454" i="13"/>
  <c r="P454" i="13" s="1"/>
  <c r="N453" i="13"/>
  <c r="N449" i="13"/>
  <c r="N446" i="13" s="1"/>
  <c r="L449" i="13"/>
  <c r="P448" i="13"/>
  <c r="O448" i="13"/>
  <c r="N445" i="13"/>
  <c r="M445" i="13"/>
  <c r="L445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P431" i="13"/>
  <c r="L431" i="13"/>
  <c r="O431" i="13" s="1"/>
  <c r="P430" i="13"/>
  <c r="O430" i="13"/>
  <c r="P429" i="13"/>
  <c r="N429" i="13"/>
  <c r="M429" i="13"/>
  <c r="N428" i="13"/>
  <c r="N424" i="13" s="1"/>
  <c r="N421" i="13" s="1"/>
  <c r="L424" i="13"/>
  <c r="O424" i="13" s="1"/>
  <c r="P423" i="13"/>
  <c r="O423" i="13"/>
  <c r="N422" i="13"/>
  <c r="P420" i="13"/>
  <c r="N420" i="13"/>
  <c r="N419" i="13" s="1"/>
  <c r="M420" i="13"/>
  <c r="L420" i="13"/>
  <c r="O420" i="13" s="1"/>
  <c r="J418" i="13"/>
  <c r="K413" i="13"/>
  <c r="K412" i="13"/>
  <c r="N410" i="13"/>
  <c r="N408" i="13" s="1"/>
  <c r="M410" i="13"/>
  <c r="L410" i="13"/>
  <c r="P409" i="13"/>
  <c r="O409" i="13"/>
  <c r="N407" i="13"/>
  <c r="N405" i="13" s="1"/>
  <c r="M407" i="13"/>
  <c r="P407" i="13" s="1"/>
  <c r="L407" i="13"/>
  <c r="P406" i="13"/>
  <c r="O406" i="13"/>
  <c r="P403" i="13"/>
  <c r="N403" i="13"/>
  <c r="M403" i="13"/>
  <c r="L403" i="13"/>
  <c r="O403" i="13" s="1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M394" i="13"/>
  <c r="P394" i="13" s="1"/>
  <c r="L394" i="13"/>
  <c r="P393" i="13"/>
  <c r="O393" i="13"/>
  <c r="P390" i="13"/>
  <c r="N390" i="13"/>
  <c r="M390" i="13"/>
  <c r="L390" i="13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L351" i="13" s="1"/>
  <c r="P352" i="13"/>
  <c r="O352" i="13"/>
  <c r="N350" i="13"/>
  <c r="N348" i="13" s="1"/>
  <c r="M350" i="13"/>
  <c r="L350" i="13"/>
  <c r="L348" i="13" s="1"/>
  <c r="P349" i="13"/>
  <c r="O349" i="13"/>
  <c r="P346" i="13"/>
  <c r="N346" i="13"/>
  <c r="M346" i="13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M333" i="13"/>
  <c r="L333" i="13"/>
  <c r="P332" i="13"/>
  <c r="O332" i="13"/>
  <c r="P329" i="13"/>
  <c r="N329" i="13"/>
  <c r="M329" i="13"/>
  <c r="L329" i="13"/>
  <c r="I327" i="13"/>
  <c r="I325" i="13"/>
  <c r="I314" i="13" s="1"/>
  <c r="K314" i="13" s="1"/>
  <c r="N323" i="13"/>
  <c r="N321" i="13" s="1"/>
  <c r="M323" i="13"/>
  <c r="P323" i="13" s="1"/>
  <c r="L323" i="13"/>
  <c r="O323" i="13" s="1"/>
  <c r="P322" i="13"/>
  <c r="O322" i="13"/>
  <c r="N320" i="13"/>
  <c r="M320" i="13"/>
  <c r="L320" i="13"/>
  <c r="O320" i="13" s="1"/>
  <c r="P319" i="13"/>
  <c r="O319" i="13"/>
  <c r="P316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N306" i="13"/>
  <c r="N304" i="13" s="1"/>
  <c r="M306" i="13"/>
  <c r="P306" i="13" s="1"/>
  <c r="L306" i="13"/>
  <c r="L304" i="13" s="1"/>
  <c r="O304" i="13" s="1"/>
  <c r="P305" i="13"/>
  <c r="O305" i="13"/>
  <c r="N303" i="13"/>
  <c r="N301" i="13" s="1"/>
  <c r="M303" i="13"/>
  <c r="L303" i="13"/>
  <c r="L301" i="13" s="1"/>
  <c r="O301" i="13" s="1"/>
  <c r="P302" i="13"/>
  <c r="O302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I275" i="13" s="1"/>
  <c r="I287" i="13"/>
  <c r="K287" i="13" s="1"/>
  <c r="N285" i="13"/>
  <c r="N283" i="13" s="1"/>
  <c r="M285" i="13"/>
  <c r="L285" i="13"/>
  <c r="P284" i="13"/>
  <c r="O284" i="13"/>
  <c r="N282" i="13"/>
  <c r="M282" i="13"/>
  <c r="L282" i="13"/>
  <c r="L280" i="13" s="1"/>
  <c r="P281" i="13"/>
  <c r="O281" i="13"/>
  <c r="P278" i="13"/>
  <c r="O278" i="13"/>
  <c r="N278" i="13"/>
  <c r="M278" i="13"/>
  <c r="L278" i="13"/>
  <c r="J276" i="13"/>
  <c r="I271" i="13"/>
  <c r="I260" i="13" s="1"/>
  <c r="N269" i="13"/>
  <c r="N267" i="13" s="1"/>
  <c r="M269" i="13"/>
  <c r="M267" i="13" s="1"/>
  <c r="P267" i="13" s="1"/>
  <c r="L269" i="13"/>
  <c r="P268" i="13"/>
  <c r="O268" i="13"/>
  <c r="N266" i="13"/>
  <c r="M266" i="13"/>
  <c r="M264" i="13" s="1"/>
  <c r="L266" i="13"/>
  <c r="L264" i="13" s="1"/>
  <c r="P265" i="13"/>
  <c r="O265" i="13"/>
  <c r="O262" i="13"/>
  <c r="N262" i="13"/>
  <c r="M262" i="13"/>
  <c r="P262" i="13" s="1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N227" i="13" s="1"/>
  <c r="J237" i="13"/>
  <c r="J226" i="13" s="1"/>
  <c r="J180" i="13" s="1"/>
  <c r="J236" i="13"/>
  <c r="I236" i="13"/>
  <c r="K236" i="13" s="1"/>
  <c r="K235" i="13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L189" i="13"/>
  <c r="P188" i="13"/>
  <c r="O188" i="13"/>
  <c r="N186" i="13"/>
  <c r="M186" i="13"/>
  <c r="M184" i="13" s="1"/>
  <c r="L186" i="13"/>
  <c r="P185" i="13"/>
  <c r="O185" i="13"/>
  <c r="O182" i="13"/>
  <c r="N182" i="13"/>
  <c r="M182" i="13"/>
  <c r="P182" i="13" s="1"/>
  <c r="L182" i="13"/>
  <c r="J177" i="13"/>
  <c r="I176" i="13"/>
  <c r="J174" i="13"/>
  <c r="N173" i="13"/>
  <c r="N171" i="13" s="1"/>
  <c r="M173" i="13"/>
  <c r="L173" i="13"/>
  <c r="P172" i="13"/>
  <c r="O172" i="13"/>
  <c r="N170" i="13"/>
  <c r="M170" i="13"/>
  <c r="M168" i="13" s="1"/>
  <c r="L170" i="13"/>
  <c r="L168" i="13" s="1"/>
  <c r="P169" i="13"/>
  <c r="O169" i="13"/>
  <c r="N166" i="13"/>
  <c r="M166" i="13"/>
  <c r="P166" i="13" s="1"/>
  <c r="L166" i="13"/>
  <c r="O166" i="13" s="1"/>
  <c r="J164" i="13"/>
  <c r="I159" i="13"/>
  <c r="I148" i="13" s="1"/>
  <c r="K148" i="13" s="1"/>
  <c r="N157" i="13"/>
  <c r="N155" i="13" s="1"/>
  <c r="M157" i="13"/>
  <c r="L157" i="13"/>
  <c r="P156" i="13"/>
  <c r="O156" i="13"/>
  <c r="N154" i="13"/>
  <c r="N152" i="13" s="1"/>
  <c r="M154" i="13"/>
  <c r="M152" i="13" s="1"/>
  <c r="L154" i="13"/>
  <c r="O154" i="13" s="1"/>
  <c r="P153" i="13"/>
  <c r="O153" i="13"/>
  <c r="N150" i="13"/>
  <c r="M150" i="13"/>
  <c r="P150" i="13" s="1"/>
  <c r="L150" i="13"/>
  <c r="J148" i="13"/>
  <c r="I146" i="13"/>
  <c r="I145" i="13"/>
  <c r="K145" i="13" s="1"/>
  <c r="I144" i="13"/>
  <c r="K144" i="13" s="1"/>
  <c r="N140" i="13"/>
  <c r="N138" i="13" s="1"/>
  <c r="M140" i="13"/>
  <c r="L140" i="13"/>
  <c r="L138" i="13" s="1"/>
  <c r="P139" i="13"/>
  <c r="O139" i="13"/>
  <c r="N137" i="13"/>
  <c r="N135" i="13" s="1"/>
  <c r="M137" i="13"/>
  <c r="M135" i="13" s="1"/>
  <c r="L137" i="13"/>
  <c r="P136" i="13"/>
  <c r="O136" i="13"/>
  <c r="P133" i="13"/>
  <c r="N133" i="13"/>
  <c r="M133" i="13"/>
  <c r="L133" i="13"/>
  <c r="J130" i="13"/>
  <c r="N127" i="13"/>
  <c r="M127" i="13"/>
  <c r="P127" i="13" s="1"/>
  <c r="L127" i="13"/>
  <c r="L125" i="13" s="1"/>
  <c r="O125" i="13" s="1"/>
  <c r="P126" i="13"/>
  <c r="O126" i="13"/>
  <c r="N124" i="13"/>
  <c r="N122" i="13" s="1"/>
  <c r="M124" i="13"/>
  <c r="L124" i="13"/>
  <c r="P123" i="13"/>
  <c r="O123" i="13"/>
  <c r="O120" i="13"/>
  <c r="N120" i="13"/>
  <c r="M120" i="13"/>
  <c r="P120" i="13" s="1"/>
  <c r="L120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J98" i="13"/>
  <c r="I98" i="13"/>
  <c r="N96" i="13"/>
  <c r="N94" i="13" s="1"/>
  <c r="M96" i="13"/>
  <c r="M94" i="13" s="1"/>
  <c r="P94" i="13" s="1"/>
  <c r="L96" i="13"/>
  <c r="L94" i="13" s="1"/>
  <c r="O94" i="13" s="1"/>
  <c r="P95" i="13"/>
  <c r="O95" i="13"/>
  <c r="N93" i="13"/>
  <c r="M93" i="13"/>
  <c r="L93" i="13"/>
  <c r="L91" i="13" s="1"/>
  <c r="P92" i="13"/>
  <c r="O92" i="13"/>
  <c r="P89" i="13"/>
  <c r="O89" i="13"/>
  <c r="N89" i="13"/>
  <c r="M89" i="13"/>
  <c r="L89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65" i="13" s="1"/>
  <c r="J76" i="13"/>
  <c r="N74" i="13"/>
  <c r="N72" i="13" s="1"/>
  <c r="M74" i="13"/>
  <c r="M72" i="13" s="1"/>
  <c r="P72" i="13" s="1"/>
  <c r="L74" i="13"/>
  <c r="P73" i="13"/>
  <c r="O73" i="13"/>
  <c r="N71" i="13"/>
  <c r="M71" i="13"/>
  <c r="M69" i="13" s="1"/>
  <c r="P69" i="13" s="1"/>
  <c r="L71" i="13"/>
  <c r="O71" i="13" s="1"/>
  <c r="P70" i="13"/>
  <c r="O70" i="13"/>
  <c r="O67" i="13"/>
  <c r="N67" i="13"/>
  <c r="M67" i="13"/>
  <c r="L67" i="13"/>
  <c r="J64" i="13"/>
  <c r="N61" i="13"/>
  <c r="M61" i="13"/>
  <c r="L61" i="13"/>
  <c r="L59" i="13" s="1"/>
  <c r="O59" i="13" s="1"/>
  <c r="P60" i="13"/>
  <c r="O60" i="13"/>
  <c r="N58" i="13"/>
  <c r="N56" i="13" s="1"/>
  <c r="M58" i="13"/>
  <c r="L58" i="13"/>
  <c r="P57" i="13"/>
  <c r="O57" i="13"/>
  <c r="P54" i="13"/>
  <c r="N54" i="13"/>
  <c r="M54" i="13"/>
  <c r="L54" i="13"/>
  <c r="N49" i="13"/>
  <c r="M49" i="13"/>
  <c r="M47" i="13" s="1"/>
  <c r="P47" i="13" s="1"/>
  <c r="L49" i="13"/>
  <c r="O49" i="13" s="1"/>
  <c r="P48" i="13"/>
  <c r="O48" i="13"/>
  <c r="N46" i="13"/>
  <c r="M46" i="13"/>
  <c r="M44" i="13" s="1"/>
  <c r="L46" i="13"/>
  <c r="P45" i="13"/>
  <c r="O45" i="13"/>
  <c r="O42" i="13"/>
  <c r="N42" i="13"/>
  <c r="M42" i="13"/>
  <c r="L42" i="13"/>
  <c r="P36" i="13"/>
  <c r="N36" i="13"/>
  <c r="M36" i="13"/>
  <c r="P35" i="13"/>
  <c r="O35" i="13"/>
  <c r="N35" i="13"/>
  <c r="M35" i="13"/>
  <c r="L35" i="13"/>
  <c r="P34" i="13"/>
  <c r="N34" i="13"/>
  <c r="M34" i="13"/>
  <c r="N33" i="13"/>
  <c r="N30" i="13" s="1"/>
  <c r="N32" i="13"/>
  <c r="N12" i="13" s="1"/>
  <c r="M32" i="13"/>
  <c r="P32" i="13" s="1"/>
  <c r="L32" i="13"/>
  <c r="O32" i="13" s="1"/>
  <c r="N25" i="13"/>
  <c r="M25" i="13"/>
  <c r="P25" i="13" s="1"/>
  <c r="L25" i="13"/>
  <c r="O25" i="13" s="1"/>
  <c r="P22" i="13"/>
  <c r="O22" i="13"/>
  <c r="N22" i="13"/>
  <c r="M22" i="13"/>
  <c r="L22" i="13"/>
  <c r="N19" i="13"/>
  <c r="M19" i="13"/>
  <c r="P19" i="13" s="1"/>
  <c r="L19" i="13"/>
  <c r="O19" i="13" s="1"/>
  <c r="M12" i="13"/>
  <c r="P12" i="13" s="1"/>
  <c r="L12" i="13"/>
  <c r="O12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P796" i="12"/>
  <c r="N796" i="12"/>
  <c r="M796" i="12"/>
  <c r="L796" i="12"/>
  <c r="O796" i="12" s="1"/>
  <c r="N791" i="12"/>
  <c r="L791" i="12"/>
  <c r="M791" i="12" s="1"/>
  <c r="P790" i="12"/>
  <c r="O790" i="12"/>
  <c r="N789" i="12"/>
  <c r="N788" i="12"/>
  <c r="P787" i="12"/>
  <c r="N787" i="12"/>
  <c r="N786" i="12" s="1"/>
  <c r="M787" i="12"/>
  <c r="L787" i="12"/>
  <c r="O787" i="12" s="1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O773" i="12"/>
  <c r="M773" i="12"/>
  <c r="P773" i="12" s="1"/>
  <c r="L773" i="12"/>
  <c r="P772" i="12"/>
  <c r="M772" i="12"/>
  <c r="L772" i="12"/>
  <c r="O771" i="12"/>
  <c r="N771" i="12"/>
  <c r="M771" i="12"/>
  <c r="P771" i="12" s="1"/>
  <c r="L771" i="12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O757" i="12"/>
  <c r="M757" i="12"/>
  <c r="P757" i="12" s="1"/>
  <c r="L757" i="12"/>
  <c r="P756" i="12"/>
  <c r="M756" i="12"/>
  <c r="L756" i="12"/>
  <c r="O755" i="12"/>
  <c r="N755" i="12"/>
  <c r="M755" i="12"/>
  <c r="P755" i="12" s="1"/>
  <c r="L755" i="12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P741" i="12"/>
  <c r="O741" i="12"/>
  <c r="O740" i="12"/>
  <c r="M740" i="12"/>
  <c r="P740" i="12" s="1"/>
  <c r="L740" i="12"/>
  <c r="P739" i="12"/>
  <c r="M739" i="12"/>
  <c r="L739" i="12"/>
  <c r="O738" i="12"/>
  <c r="N738" i="12"/>
  <c r="M738" i="12"/>
  <c r="P738" i="12" s="1"/>
  <c r="L738" i="12"/>
  <c r="P737" i="12"/>
  <c r="M737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L690" i="12"/>
  <c r="O686" i="12"/>
  <c r="N686" i="12"/>
  <c r="M686" i="12"/>
  <c r="P686" i="12" s="1"/>
  <c r="L686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P667" i="12"/>
  <c r="O667" i="12"/>
  <c r="P666" i="12"/>
  <c r="O666" i="12"/>
  <c r="O665" i="12"/>
  <c r="N665" i="12"/>
  <c r="M665" i="12"/>
  <c r="P665" i="12" s="1"/>
  <c r="L665" i="12"/>
  <c r="N660" i="12"/>
  <c r="N658" i="12" s="1"/>
  <c r="L660" i="12"/>
  <c r="P659" i="12"/>
  <c r="O659" i="12"/>
  <c r="N657" i="12"/>
  <c r="O656" i="12"/>
  <c r="N656" i="12"/>
  <c r="M656" i="12"/>
  <c r="L656" i="12"/>
  <c r="N655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N634" i="12"/>
  <c r="L634" i="12"/>
  <c r="P633" i="12"/>
  <c r="O633" i="12"/>
  <c r="N632" i="12"/>
  <c r="N631" i="12"/>
  <c r="P630" i="12"/>
  <c r="N630" i="12"/>
  <c r="N629" i="12" s="1"/>
  <c r="M630" i="12"/>
  <c r="L630" i="12"/>
  <c r="J621" i="12"/>
  <c r="I621" i="12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J576" i="12"/>
  <c r="J559" i="12" s="1"/>
  <c r="J543" i="12" s="1"/>
  <c r="I576" i="12"/>
  <c r="I559" i="12" s="1"/>
  <c r="J569" i="12"/>
  <c r="I569" i="12"/>
  <c r="K569" i="12" s="1"/>
  <c r="J568" i="12"/>
  <c r="I568" i="12"/>
  <c r="J561" i="12"/>
  <c r="I561" i="12"/>
  <c r="K561" i="12" s="1"/>
  <c r="J560" i="12"/>
  <c r="I560" i="12"/>
  <c r="P557" i="12"/>
  <c r="L557" i="12"/>
  <c r="O557" i="12" s="1"/>
  <c r="P556" i="12"/>
  <c r="O556" i="12"/>
  <c r="P555" i="12"/>
  <c r="N555" i="12"/>
  <c r="N545" i="12" s="1"/>
  <c r="N544" i="12" s="1"/>
  <c r="M555" i="12"/>
  <c r="N549" i="12"/>
  <c r="L549" i="12"/>
  <c r="L547" i="12" s="1"/>
  <c r="O547" i="12" s="1"/>
  <c r="P548" i="12"/>
  <c r="O548" i="12"/>
  <c r="N547" i="12"/>
  <c r="N546" i="12"/>
  <c r="P545" i="12"/>
  <c r="M545" i="12"/>
  <c r="L545" i="12"/>
  <c r="O545" i="12" s="1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K537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L528" i="12"/>
  <c r="L526" i="12" s="1"/>
  <c r="O526" i="12" s="1"/>
  <c r="P527" i="12"/>
  <c r="O527" i="12"/>
  <c r="P526" i="12"/>
  <c r="N526" i="12"/>
  <c r="M526" i="12"/>
  <c r="M525" i="12"/>
  <c r="P525" i="12" s="1"/>
  <c r="P524" i="12"/>
  <c r="N524" i="12"/>
  <c r="N523" i="12" s="1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P506" i="12"/>
  <c r="O506" i="12"/>
  <c r="P505" i="12"/>
  <c r="N505" i="12"/>
  <c r="M505" i="12"/>
  <c r="L505" i="12"/>
  <c r="O505" i="12" s="1"/>
  <c r="O504" i="12"/>
  <c r="M504" i="12"/>
  <c r="L504" i="12"/>
  <c r="P503" i="12"/>
  <c r="N503" i="12"/>
  <c r="N502" i="12" s="1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M472" i="12" s="1"/>
  <c r="P471" i="12"/>
  <c r="O471" i="12"/>
  <c r="O468" i="12"/>
  <c r="N468" i="12"/>
  <c r="M468" i="12"/>
  <c r="L468" i="12"/>
  <c r="J466" i="12"/>
  <c r="I466" i="12"/>
  <c r="K466" i="12" s="1"/>
  <c r="J465" i="12"/>
  <c r="I465" i="12"/>
  <c r="K465" i="12" s="1"/>
  <c r="I464" i="12"/>
  <c r="K464" i="12" s="1"/>
  <c r="I463" i="12"/>
  <c r="K463" i="12" s="1"/>
  <c r="I462" i="12"/>
  <c r="I460" i="12"/>
  <c r="K460" i="12" s="1"/>
  <c r="K458" i="12"/>
  <c r="P456" i="12"/>
  <c r="L456" i="12"/>
  <c r="P455" i="12"/>
  <c r="O455" i="12"/>
  <c r="N454" i="12"/>
  <c r="M454" i="12"/>
  <c r="P454" i="12" s="1"/>
  <c r="N449" i="12"/>
  <c r="N447" i="12" s="1"/>
  <c r="L449" i="12"/>
  <c r="L446" i="12" s="1"/>
  <c r="P448" i="12"/>
  <c r="O448" i="12"/>
  <c r="N446" i="12"/>
  <c r="O445" i="12"/>
  <c r="N445" i="12"/>
  <c r="N444" i="12" s="1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J434" i="12"/>
  <c r="J418" i="12" s="1"/>
  <c r="P431" i="12"/>
  <c r="L431" i="12"/>
  <c r="P430" i="12"/>
  <c r="O430" i="12"/>
  <c r="P429" i="12"/>
  <c r="N429" i="12"/>
  <c r="M429" i="12"/>
  <c r="L429" i="12"/>
  <c r="O429" i="12" s="1"/>
  <c r="N424" i="12"/>
  <c r="L424" i="12"/>
  <c r="P423" i="12"/>
  <c r="O423" i="12"/>
  <c r="N422" i="12"/>
  <c r="N421" i="12"/>
  <c r="P420" i="12"/>
  <c r="O420" i="12"/>
  <c r="N420" i="12"/>
  <c r="N419" i="12" s="1"/>
  <c r="M420" i="12"/>
  <c r="L420" i="12"/>
  <c r="K413" i="12"/>
  <c r="K412" i="12"/>
  <c r="N410" i="12"/>
  <c r="N408" i="12" s="1"/>
  <c r="M410" i="12"/>
  <c r="L410" i="12"/>
  <c r="L408" i="12" s="1"/>
  <c r="O408" i="12" s="1"/>
  <c r="P409" i="12"/>
  <c r="O409" i="12"/>
  <c r="N407" i="12"/>
  <c r="M407" i="12"/>
  <c r="L407" i="12"/>
  <c r="P406" i="12"/>
  <c r="O406" i="12"/>
  <c r="N403" i="12"/>
  <c r="M403" i="12"/>
  <c r="L403" i="12"/>
  <c r="O403" i="12" s="1"/>
  <c r="K401" i="12"/>
  <c r="J401" i="12"/>
  <c r="I401" i="12"/>
  <c r="K400" i="12"/>
  <c r="K399" i="12"/>
  <c r="N397" i="12"/>
  <c r="N395" i="12" s="1"/>
  <c r="M397" i="12"/>
  <c r="M395" i="12" s="1"/>
  <c r="P395" i="12" s="1"/>
  <c r="L397" i="12"/>
  <c r="P396" i="12"/>
  <c r="O396" i="12"/>
  <c r="N394" i="12"/>
  <c r="N392" i="12" s="1"/>
  <c r="M394" i="12"/>
  <c r="L394" i="12"/>
  <c r="O394" i="12" s="1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P352" i="12"/>
  <c r="O352" i="12"/>
  <c r="N350" i="12"/>
  <c r="N348" i="12" s="1"/>
  <c r="M350" i="12"/>
  <c r="M348" i="12" s="1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L336" i="12"/>
  <c r="O336" i="12" s="1"/>
  <c r="P335" i="12"/>
  <c r="O335" i="12"/>
  <c r="N333" i="12"/>
  <c r="N331" i="12" s="1"/>
  <c r="M333" i="12"/>
  <c r="M331" i="12" s="1"/>
  <c r="L333" i="12"/>
  <c r="P332" i="12"/>
  <c r="O332" i="12"/>
  <c r="P329" i="12"/>
  <c r="N329" i="12"/>
  <c r="M329" i="12"/>
  <c r="L329" i="12"/>
  <c r="O329" i="12" s="1"/>
  <c r="I327" i="12"/>
  <c r="I325" i="12"/>
  <c r="I314" i="12" s="1"/>
  <c r="K314" i="12" s="1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L320" i="12"/>
  <c r="P319" i="12"/>
  <c r="O319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M306" i="12"/>
  <c r="M304" i="12" s="1"/>
  <c r="P304" i="12" s="1"/>
  <c r="L306" i="12"/>
  <c r="L304" i="12" s="1"/>
  <c r="O304" i="12" s="1"/>
  <c r="P305" i="12"/>
  <c r="O305" i="12"/>
  <c r="N303" i="12"/>
  <c r="N301" i="12" s="1"/>
  <c r="M303" i="12"/>
  <c r="L303" i="12"/>
  <c r="P302" i="12"/>
  <c r="O302" i="12"/>
  <c r="P299" i="12"/>
  <c r="N299" i="12"/>
  <c r="M299" i="12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I287" i="12"/>
  <c r="K287" i="12" s="1"/>
  <c r="N285" i="12"/>
  <c r="N283" i="12" s="1"/>
  <c r="M285" i="12"/>
  <c r="L285" i="12"/>
  <c r="O285" i="12" s="1"/>
  <c r="P284" i="12"/>
  <c r="O284" i="12"/>
  <c r="N282" i="12"/>
  <c r="N280" i="12" s="1"/>
  <c r="M282" i="12"/>
  <c r="M280" i="12" s="1"/>
  <c r="L282" i="12"/>
  <c r="P281" i="12"/>
  <c r="O281" i="12"/>
  <c r="O278" i="12"/>
  <c r="N278" i="12"/>
  <c r="M278" i="12"/>
  <c r="P278" i="12" s="1"/>
  <c r="L278" i="12"/>
  <c r="J276" i="12"/>
  <c r="I271" i="12"/>
  <c r="K271" i="12" s="1"/>
  <c r="N269" i="12"/>
  <c r="N267" i="12" s="1"/>
  <c r="M269" i="12"/>
  <c r="P269" i="12" s="1"/>
  <c r="L269" i="12"/>
  <c r="O269" i="12" s="1"/>
  <c r="P268" i="12"/>
  <c r="O268" i="12"/>
  <c r="N266" i="12"/>
  <c r="N264" i="12" s="1"/>
  <c r="M266" i="12"/>
  <c r="L266" i="12"/>
  <c r="P265" i="12"/>
  <c r="O265" i="12"/>
  <c r="P262" i="12"/>
  <c r="N262" i="12"/>
  <c r="M262" i="12"/>
  <c r="L262" i="12"/>
  <c r="O262" i="12" s="1"/>
  <c r="J260" i="12"/>
  <c r="K258" i="12"/>
  <c r="K257" i="12"/>
  <c r="I255" i="12"/>
  <c r="I248" i="12" s="1"/>
  <c r="K248" i="12" s="1"/>
  <c r="L253" i="12"/>
  <c r="L252" i="12"/>
  <c r="L251" i="12"/>
  <c r="L250" i="12"/>
  <c r="P249" i="12"/>
  <c r="N249" i="12"/>
  <c r="N227" i="12" s="1"/>
  <c r="J248" i="12"/>
  <c r="K247" i="12"/>
  <c r="K246" i="12"/>
  <c r="I244" i="12"/>
  <c r="I237" i="12" s="1"/>
  <c r="K237" i="12" s="1"/>
  <c r="L242" i="12"/>
  <c r="L241" i="12"/>
  <c r="L240" i="12"/>
  <c r="L239" i="12"/>
  <c r="P238" i="12"/>
  <c r="N238" i="12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J226" i="12"/>
  <c r="I225" i="12"/>
  <c r="K225" i="12" s="1"/>
  <c r="I224" i="12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M186" i="12"/>
  <c r="L186" i="12"/>
  <c r="P185" i="12"/>
  <c r="O185" i="12"/>
  <c r="P182" i="12"/>
  <c r="N182" i="12"/>
  <c r="M182" i="12"/>
  <c r="L182" i="12"/>
  <c r="J180" i="12"/>
  <c r="J177" i="12"/>
  <c r="I176" i="12"/>
  <c r="I174" i="12" s="1"/>
  <c r="I164" i="12" s="1"/>
  <c r="J174" i="12"/>
  <c r="J164" i="12" s="1"/>
  <c r="N173" i="12"/>
  <c r="N171" i="12" s="1"/>
  <c r="M173" i="12"/>
  <c r="P173" i="12" s="1"/>
  <c r="L173" i="12"/>
  <c r="O173" i="12" s="1"/>
  <c r="P172" i="12"/>
  <c r="O172" i="12"/>
  <c r="N170" i="12"/>
  <c r="M170" i="12"/>
  <c r="M168" i="12" s="1"/>
  <c r="L170" i="12"/>
  <c r="P169" i="12"/>
  <c r="O169" i="12"/>
  <c r="P166" i="12"/>
  <c r="O166" i="12"/>
  <c r="N166" i="12"/>
  <c r="M166" i="12"/>
  <c r="L166" i="12"/>
  <c r="I159" i="12"/>
  <c r="I148" i="12" s="1"/>
  <c r="K148" i="12" s="1"/>
  <c r="N157" i="12"/>
  <c r="N155" i="12" s="1"/>
  <c r="M157" i="12"/>
  <c r="P157" i="12" s="1"/>
  <c r="L157" i="12"/>
  <c r="L155" i="12" s="1"/>
  <c r="O155" i="12" s="1"/>
  <c r="P156" i="12"/>
  <c r="O156" i="12"/>
  <c r="N154" i="12"/>
  <c r="N152" i="12" s="1"/>
  <c r="M154" i="12"/>
  <c r="M152" i="12" s="1"/>
  <c r="L154" i="12"/>
  <c r="L152" i="12" s="1"/>
  <c r="P153" i="12"/>
  <c r="O153" i="12"/>
  <c r="P150" i="12"/>
  <c r="N150" i="12"/>
  <c r="M150" i="12"/>
  <c r="L150" i="12"/>
  <c r="O150" i="12" s="1"/>
  <c r="J148" i="12"/>
  <c r="I146" i="12"/>
  <c r="K146" i="12" s="1"/>
  <c r="I145" i="12"/>
  <c r="I143" i="12" s="1"/>
  <c r="K143" i="12" s="1"/>
  <c r="I144" i="12"/>
  <c r="N140" i="12"/>
  <c r="N138" i="12" s="1"/>
  <c r="M140" i="12"/>
  <c r="P140" i="12" s="1"/>
  <c r="L140" i="12"/>
  <c r="O140" i="12" s="1"/>
  <c r="P139" i="12"/>
  <c r="O139" i="12"/>
  <c r="N137" i="12"/>
  <c r="N135" i="12" s="1"/>
  <c r="M137" i="12"/>
  <c r="M135" i="12" s="1"/>
  <c r="P135" i="12" s="1"/>
  <c r="L137" i="12"/>
  <c r="P136" i="12"/>
  <c r="O136" i="12"/>
  <c r="P133" i="12"/>
  <c r="O133" i="12"/>
  <c r="N133" i="12"/>
  <c r="M133" i="12"/>
  <c r="L133" i="12"/>
  <c r="J130" i="12"/>
  <c r="N127" i="12"/>
  <c r="N125" i="12" s="1"/>
  <c r="M127" i="12"/>
  <c r="P127" i="12" s="1"/>
  <c r="L127" i="12"/>
  <c r="L125" i="12" s="1"/>
  <c r="O125" i="12" s="1"/>
  <c r="P126" i="12"/>
  <c r="O126" i="12"/>
  <c r="N124" i="12"/>
  <c r="M124" i="12"/>
  <c r="P124" i="12" s="1"/>
  <c r="L124" i="12"/>
  <c r="O124" i="12" s="1"/>
  <c r="P123" i="12"/>
  <c r="O123" i="12"/>
  <c r="N120" i="12"/>
  <c r="M120" i="12"/>
  <c r="P120" i="12" s="1"/>
  <c r="L120" i="12"/>
  <c r="O120" i="12" s="1"/>
  <c r="I116" i="12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K99" i="12" s="1"/>
  <c r="J98" i="12"/>
  <c r="I98" i="12"/>
  <c r="I86" i="12" s="1"/>
  <c r="K86" i="12" s="1"/>
  <c r="N96" i="12"/>
  <c r="N94" i="12" s="1"/>
  <c r="M96" i="12"/>
  <c r="P96" i="12" s="1"/>
  <c r="L96" i="12"/>
  <c r="O96" i="12" s="1"/>
  <c r="P95" i="12"/>
  <c r="O95" i="12"/>
  <c r="N93" i="12"/>
  <c r="N91" i="12" s="1"/>
  <c r="M93" i="12"/>
  <c r="M91" i="12" s="1"/>
  <c r="L93" i="12"/>
  <c r="L91" i="12" s="1"/>
  <c r="P92" i="12"/>
  <c r="O92" i="12"/>
  <c r="P89" i="12"/>
  <c r="O89" i="12"/>
  <c r="N89" i="12"/>
  <c r="M89" i="12"/>
  <c r="L89" i="12"/>
  <c r="J87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76" i="12"/>
  <c r="N74" i="12"/>
  <c r="N72" i="12" s="1"/>
  <c r="M74" i="12"/>
  <c r="L74" i="12"/>
  <c r="O74" i="12" s="1"/>
  <c r="P73" i="12"/>
  <c r="O73" i="12"/>
  <c r="N71" i="12"/>
  <c r="N69" i="12" s="1"/>
  <c r="M71" i="12"/>
  <c r="M69" i="12" s="1"/>
  <c r="L71" i="12"/>
  <c r="L69" i="12" s="1"/>
  <c r="P70" i="12"/>
  <c r="O70" i="12"/>
  <c r="O67" i="12"/>
  <c r="N67" i="12"/>
  <c r="M67" i="12"/>
  <c r="P67" i="12" s="1"/>
  <c r="L67" i="12"/>
  <c r="J65" i="12"/>
  <c r="J64" i="12"/>
  <c r="N61" i="12"/>
  <c r="N59" i="12" s="1"/>
  <c r="M61" i="12"/>
  <c r="L61" i="12"/>
  <c r="L59" i="12" s="1"/>
  <c r="P60" i="12"/>
  <c r="O60" i="12"/>
  <c r="N58" i="12"/>
  <c r="N56" i="12" s="1"/>
  <c r="M58" i="12"/>
  <c r="M56" i="12" s="1"/>
  <c r="L58" i="12"/>
  <c r="P57" i="12"/>
  <c r="O57" i="12"/>
  <c r="N54" i="12"/>
  <c r="M54" i="12"/>
  <c r="P54" i="12" s="1"/>
  <c r="L54" i="12"/>
  <c r="O54" i="12" s="1"/>
  <c r="N49" i="12"/>
  <c r="M49" i="12"/>
  <c r="L49" i="12"/>
  <c r="L47" i="12" s="1"/>
  <c r="O47" i="12" s="1"/>
  <c r="P48" i="12"/>
  <c r="O48" i="12"/>
  <c r="N46" i="12"/>
  <c r="M46" i="12"/>
  <c r="L46" i="12"/>
  <c r="L44" i="12" s="1"/>
  <c r="P45" i="12"/>
  <c r="O45" i="12"/>
  <c r="P42" i="12"/>
  <c r="O42" i="12"/>
  <c r="N42" i="12"/>
  <c r="M42" i="12"/>
  <c r="L42" i="12"/>
  <c r="N36" i="12"/>
  <c r="M36" i="12"/>
  <c r="P36" i="12" s="1"/>
  <c r="N35" i="12"/>
  <c r="N34" i="12" s="1"/>
  <c r="M35" i="12"/>
  <c r="P35" i="12" s="1"/>
  <c r="L35" i="12"/>
  <c r="O35" i="12" s="1"/>
  <c r="N33" i="12"/>
  <c r="P32" i="12"/>
  <c r="O32" i="12"/>
  <c r="N32" i="12"/>
  <c r="N29" i="12" s="1"/>
  <c r="N28" i="12" s="1"/>
  <c r="M32" i="12"/>
  <c r="L32" i="12"/>
  <c r="N31" i="12"/>
  <c r="N30" i="12"/>
  <c r="M29" i="12"/>
  <c r="P29" i="12" s="1"/>
  <c r="L29" i="12"/>
  <c r="O29" i="12" s="1"/>
  <c r="P25" i="12"/>
  <c r="O25" i="12"/>
  <c r="N25" i="12"/>
  <c r="N15" i="12" s="1"/>
  <c r="M25" i="12"/>
  <c r="L25" i="12"/>
  <c r="N22" i="12"/>
  <c r="M22" i="12"/>
  <c r="P22" i="12" s="1"/>
  <c r="L22" i="12"/>
  <c r="O22" i="12" s="1"/>
  <c r="N19" i="12"/>
  <c r="M15" i="12"/>
  <c r="P15" i="12" s="1"/>
  <c r="L15" i="12"/>
  <c r="O15" i="12" s="1"/>
  <c r="N12" i="12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N808" i="11"/>
  <c r="M808" i="11"/>
  <c r="P808" i="11" s="1"/>
  <c r="L808" i="11"/>
  <c r="N807" i="11"/>
  <c r="N805" i="11" s="1"/>
  <c r="M807" i="11"/>
  <c r="P807" i="11" s="1"/>
  <c r="L807" i="11"/>
  <c r="O807" i="11" s="1"/>
  <c r="N806" i="11"/>
  <c r="M806" i="11"/>
  <c r="L806" i="11"/>
  <c r="O806" i="11" s="1"/>
  <c r="L805" i="11"/>
  <c r="O805" i="11" s="1"/>
  <c r="K804" i="11"/>
  <c r="J804" i="11"/>
  <c r="K802" i="11"/>
  <c r="J801" i="11"/>
  <c r="J800" i="11"/>
  <c r="J785" i="11" s="1"/>
  <c r="I800" i="11"/>
  <c r="P798" i="11"/>
  <c r="O798" i="11"/>
  <c r="P797" i="11"/>
  <c r="O797" i="11"/>
  <c r="P796" i="11"/>
  <c r="O796" i="11"/>
  <c r="N796" i="11"/>
  <c r="M796" i="11"/>
  <c r="L796" i="11"/>
  <c r="P791" i="11"/>
  <c r="N791" i="11"/>
  <c r="L791" i="11"/>
  <c r="L788" i="11" s="1"/>
  <c r="O788" i="11" s="1"/>
  <c r="P790" i="11"/>
  <c r="O790" i="11"/>
  <c r="M789" i="11"/>
  <c r="P789" i="11" s="1"/>
  <c r="M788" i="11"/>
  <c r="P788" i="11" s="1"/>
  <c r="N787" i="11"/>
  <c r="M787" i="11"/>
  <c r="L787" i="11"/>
  <c r="O787" i="11" s="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N773" i="11" s="1"/>
  <c r="P774" i="11"/>
  <c r="O774" i="11"/>
  <c r="P773" i="11"/>
  <c r="O773" i="11"/>
  <c r="M773" i="11"/>
  <c r="L773" i="11"/>
  <c r="O772" i="11"/>
  <c r="N772" i="11"/>
  <c r="M772" i="11"/>
  <c r="P772" i="11" s="1"/>
  <c r="L772" i="11"/>
  <c r="N771" i="11"/>
  <c r="N770" i="11" s="1"/>
  <c r="M771" i="11"/>
  <c r="P771" i="11" s="1"/>
  <c r="L771" i="11"/>
  <c r="O771" i="11" s="1"/>
  <c r="M770" i="11"/>
  <c r="P770" i="11" s="1"/>
  <c r="L770" i="11"/>
  <c r="O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N757" i="11" s="1"/>
  <c r="P758" i="11"/>
  <c r="O758" i="11"/>
  <c r="P757" i="11"/>
  <c r="O757" i="11"/>
  <c r="M757" i="11"/>
  <c r="L757" i="11"/>
  <c r="O756" i="11"/>
  <c r="N756" i="11"/>
  <c r="M756" i="11"/>
  <c r="P756" i="11" s="1"/>
  <c r="L756" i="11"/>
  <c r="N755" i="11"/>
  <c r="N754" i="11" s="1"/>
  <c r="M755" i="11"/>
  <c r="L755" i="11"/>
  <c r="O755" i="11" s="1"/>
  <c r="L754" i="11"/>
  <c r="O754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N740" i="11" s="1"/>
  <c r="P741" i="11"/>
  <c r="O741" i="11"/>
  <c r="P740" i="11"/>
  <c r="O740" i="11"/>
  <c r="M740" i="11"/>
  <c r="L740" i="11"/>
  <c r="O739" i="11"/>
  <c r="N739" i="11"/>
  <c r="M739" i="11"/>
  <c r="P739" i="11" s="1"/>
  <c r="L739" i="11"/>
  <c r="N738" i="11"/>
  <c r="M738" i="11"/>
  <c r="P738" i="11" s="1"/>
  <c r="L738" i="11"/>
  <c r="O738" i="11" s="1"/>
  <c r="M737" i="11"/>
  <c r="P737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N695" i="11"/>
  <c r="M695" i="11"/>
  <c r="L695" i="11"/>
  <c r="O695" i="11" s="1"/>
  <c r="P690" i="11"/>
  <c r="N690" i="11"/>
  <c r="L690" i="11"/>
  <c r="O690" i="11" s="1"/>
  <c r="N688" i="11"/>
  <c r="M688" i="11"/>
  <c r="P688" i="11" s="1"/>
  <c r="N687" i="11"/>
  <c r="N685" i="11" s="1"/>
  <c r="M687" i="11"/>
  <c r="P687" i="11" s="1"/>
  <c r="N686" i="11"/>
  <c r="M686" i="11"/>
  <c r="L686" i="11"/>
  <c r="O686" i="11" s="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K673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L660" i="11"/>
  <c r="O660" i="11" s="1"/>
  <c r="P659" i="11"/>
  <c r="O659" i="11"/>
  <c r="P658" i="11"/>
  <c r="N658" i="11"/>
  <c r="M658" i="11"/>
  <c r="L658" i="11"/>
  <c r="O658" i="11" s="1"/>
  <c r="P657" i="11"/>
  <c r="N657" i="11"/>
  <c r="M657" i="11"/>
  <c r="P656" i="11"/>
  <c r="O656" i="11"/>
  <c r="N656" i="11"/>
  <c r="M656" i="11"/>
  <c r="M655" i="11" s="1"/>
  <c r="P655" i="11" s="1"/>
  <c r="L656" i="11"/>
  <c r="N655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8" i="11"/>
  <c r="N634" i="11"/>
  <c r="N632" i="11" s="1"/>
  <c r="L634" i="11"/>
  <c r="M634" i="11" s="1"/>
  <c r="P633" i="11"/>
  <c r="O633" i="11"/>
  <c r="N631" i="11"/>
  <c r="N630" i="11"/>
  <c r="N629" i="11" s="1"/>
  <c r="M630" i="1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6" i="11"/>
  <c r="J594" i="11" s="1"/>
  <c r="J595" i="11"/>
  <c r="I594" i="11"/>
  <c r="I593" i="11"/>
  <c r="I592" i="11" s="1"/>
  <c r="J583" i="11"/>
  <c r="J577" i="11" s="1"/>
  <c r="J582" i="11"/>
  <c r="J576" i="11" s="1"/>
  <c r="J559" i="11" s="1"/>
  <c r="J543" i="11" s="1"/>
  <c r="I577" i="11"/>
  <c r="I576" i="11"/>
  <c r="J569" i="11"/>
  <c r="I569" i="11"/>
  <c r="K569" i="11" s="1"/>
  <c r="J568" i="11"/>
  <c r="I568" i="11"/>
  <c r="J561" i="11"/>
  <c r="I561" i="11"/>
  <c r="K561" i="11" s="1"/>
  <c r="J560" i="11"/>
  <c r="I560" i="11"/>
  <c r="K560" i="11" s="1"/>
  <c r="P557" i="11"/>
  <c r="L557" i="11"/>
  <c r="P556" i="11"/>
  <c r="O556" i="11"/>
  <c r="N555" i="11"/>
  <c r="N545" i="11" s="1"/>
  <c r="N544" i="11" s="1"/>
  <c r="M555" i="11"/>
  <c r="P555" i="11" s="1"/>
  <c r="N553" i="11"/>
  <c r="N549" i="11"/>
  <c r="L549" i="11"/>
  <c r="O549" i="11" s="1"/>
  <c r="P548" i="11"/>
  <c r="O548" i="11"/>
  <c r="N547" i="11"/>
  <c r="N546" i="11"/>
  <c r="M545" i="11"/>
  <c r="L545" i="11"/>
  <c r="O545" i="11" s="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K537" i="11" s="1"/>
  <c r="P535" i="11"/>
  <c r="L535" i="11"/>
  <c r="P534" i="11"/>
  <c r="O534" i="11"/>
  <c r="N533" i="11"/>
  <c r="M533" i="11"/>
  <c r="P533" i="11" s="1"/>
  <c r="P528" i="11"/>
  <c r="N528" i="11"/>
  <c r="L528" i="11"/>
  <c r="P527" i="11"/>
  <c r="O527" i="11"/>
  <c r="N526" i="11"/>
  <c r="M526" i="11"/>
  <c r="P526" i="11" s="1"/>
  <c r="P525" i="11"/>
  <c r="N525" i="11"/>
  <c r="M525" i="11"/>
  <c r="P524" i="11"/>
  <c r="O524" i="11"/>
  <c r="N524" i="11"/>
  <c r="N523" i="11" s="1"/>
  <c r="M524" i="11"/>
  <c r="L524" i="11"/>
  <c r="P523" i="11"/>
  <c r="M523" i="11"/>
  <c r="K517" i="11"/>
  <c r="J517" i="11"/>
  <c r="J501" i="11" s="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N504" i="11" s="1"/>
  <c r="P506" i="11"/>
  <c r="O506" i="11"/>
  <c r="P505" i="11"/>
  <c r="O505" i="11"/>
  <c r="N505" i="11"/>
  <c r="M505" i="11"/>
  <c r="L505" i="11"/>
  <c r="P504" i="11"/>
  <c r="O504" i="11"/>
  <c r="M504" i="11"/>
  <c r="L504" i="11"/>
  <c r="O503" i="11"/>
  <c r="N503" i="11"/>
  <c r="M503" i="11"/>
  <c r="P503" i="11" s="1"/>
  <c r="L503" i="11"/>
  <c r="L502" i="11" s="1"/>
  <c r="O502" i="11" s="1"/>
  <c r="N502" i="11"/>
  <c r="M502" i="11"/>
  <c r="P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P477" i="11"/>
  <c r="N477" i="11"/>
  <c r="M477" i="11"/>
  <c r="N476" i="11"/>
  <c r="N473" i="11"/>
  <c r="N472" i="11" s="1"/>
  <c r="N469" i="11" s="1"/>
  <c r="N467" i="11" s="1"/>
  <c r="L472" i="11"/>
  <c r="P471" i="11"/>
  <c r="O471" i="11"/>
  <c r="P468" i="11"/>
  <c r="N468" i="11"/>
  <c r="M468" i="11"/>
  <c r="L468" i="11"/>
  <c r="J466" i="11"/>
  <c r="I466" i="11"/>
  <c r="J465" i="11"/>
  <c r="I465" i="11"/>
  <c r="K465" i="11" s="1"/>
  <c r="I464" i="11"/>
  <c r="K464" i="11" s="1"/>
  <c r="I463" i="11"/>
  <c r="K463" i="11" s="1"/>
  <c r="I462" i="11"/>
  <c r="K462" i="11" s="1"/>
  <c r="I460" i="11"/>
  <c r="K458" i="11"/>
  <c r="P456" i="11"/>
  <c r="L456" i="11"/>
  <c r="L454" i="11" s="1"/>
  <c r="O454" i="11" s="1"/>
  <c r="P455" i="11"/>
  <c r="O455" i="11"/>
  <c r="P454" i="11"/>
  <c r="N454" i="11"/>
  <c r="M454" i="11"/>
  <c r="N453" i="11"/>
  <c r="N450" i="11"/>
  <c r="L449" i="11"/>
  <c r="P448" i="11"/>
  <c r="O448" i="11"/>
  <c r="P445" i="11"/>
  <c r="O445" i="11"/>
  <c r="N445" i="11"/>
  <c r="M445" i="11"/>
  <c r="L445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I435" i="11"/>
  <c r="I433" i="11" s="1"/>
  <c r="I417" i="11" s="1"/>
  <c r="J434" i="11"/>
  <c r="P431" i="11"/>
  <c r="L431" i="11"/>
  <c r="O431" i="11" s="1"/>
  <c r="P430" i="11"/>
  <c r="O430" i="11"/>
  <c r="N429" i="11"/>
  <c r="M429" i="11"/>
  <c r="P429" i="11" s="1"/>
  <c r="N428" i="11"/>
  <c r="N424" i="11" s="1"/>
  <c r="L424" i="11"/>
  <c r="M424" i="11" s="1"/>
  <c r="P423" i="11"/>
  <c r="O423" i="11"/>
  <c r="N420" i="11"/>
  <c r="M420" i="11"/>
  <c r="L420" i="11"/>
  <c r="O420" i="11" s="1"/>
  <c r="J418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N405" i="11" s="1"/>
  <c r="M407" i="11"/>
  <c r="P407" i="11" s="1"/>
  <c r="L407" i="11"/>
  <c r="O407" i="11" s="1"/>
  <c r="P406" i="11"/>
  <c r="O406" i="11"/>
  <c r="P403" i="11"/>
  <c r="N403" i="11"/>
  <c r="M403" i="11"/>
  <c r="L403" i="11"/>
  <c r="K401" i="11"/>
  <c r="J401" i="11"/>
  <c r="I401" i="11"/>
  <c r="K400" i="11"/>
  <c r="K399" i="11"/>
  <c r="N397" i="11"/>
  <c r="N395" i="11" s="1"/>
  <c r="M397" i="11"/>
  <c r="L397" i="11"/>
  <c r="L395" i="11" s="1"/>
  <c r="O395" i="11" s="1"/>
  <c r="P396" i="11"/>
  <c r="O396" i="11"/>
  <c r="N394" i="11"/>
  <c r="N392" i="11" s="1"/>
  <c r="M394" i="11"/>
  <c r="M392" i="11" s="1"/>
  <c r="P392" i="11" s="1"/>
  <c r="L394" i="1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P352" i="11"/>
  <c r="O352" i="11"/>
  <c r="N350" i="11"/>
  <c r="N348" i="11" s="1"/>
  <c r="M350" i="11"/>
  <c r="L350" i="11"/>
  <c r="P349" i="11"/>
  <c r="O349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O336" i="11" s="1"/>
  <c r="P335" i="11"/>
  <c r="O335" i="11"/>
  <c r="N333" i="11"/>
  <c r="N331" i="11" s="1"/>
  <c r="M333" i="11"/>
  <c r="L333" i="11"/>
  <c r="P332" i="11"/>
  <c r="O332" i="11"/>
  <c r="O329" i="11"/>
  <c r="N329" i="11"/>
  <c r="M329" i="11"/>
  <c r="P329" i="11" s="1"/>
  <c r="L329" i="11"/>
  <c r="I327" i="11"/>
  <c r="I325" i="11"/>
  <c r="K325" i="11" s="1"/>
  <c r="N323" i="11"/>
  <c r="N321" i="11" s="1"/>
  <c r="M323" i="11"/>
  <c r="M321" i="11" s="1"/>
  <c r="P321" i="11" s="1"/>
  <c r="L323" i="11"/>
  <c r="P322" i="11"/>
  <c r="O322" i="11"/>
  <c r="N320" i="11"/>
  <c r="M320" i="11"/>
  <c r="P320" i="11" s="1"/>
  <c r="L320" i="11"/>
  <c r="O320" i="11" s="1"/>
  <c r="P319" i="11"/>
  <c r="O319" i="11"/>
  <c r="P316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N306" i="11"/>
  <c r="N304" i="11" s="1"/>
  <c r="M306" i="11"/>
  <c r="P306" i="11" s="1"/>
  <c r="L306" i="11"/>
  <c r="P305" i="11"/>
  <c r="O305" i="11"/>
  <c r="N303" i="11"/>
  <c r="N301" i="11" s="1"/>
  <c r="M303" i="11"/>
  <c r="M301" i="11" s="1"/>
  <c r="L303" i="11"/>
  <c r="P302" i="11"/>
  <c r="O302" i="11"/>
  <c r="N299" i="11"/>
  <c r="M299" i="11"/>
  <c r="L299" i="11"/>
  <c r="O299" i="11" s="1"/>
  <c r="J297" i="11"/>
  <c r="I294" i="11"/>
  <c r="K294" i="11" s="1"/>
  <c r="I293" i="11"/>
  <c r="K293" i="11" s="1"/>
  <c r="I291" i="11"/>
  <c r="K291" i="11" s="1"/>
  <c r="I290" i="11"/>
  <c r="K290" i="11" s="1"/>
  <c r="I288" i="11"/>
  <c r="I275" i="11" s="1"/>
  <c r="I287" i="11"/>
  <c r="K287" i="11" s="1"/>
  <c r="N285" i="11"/>
  <c r="N283" i="11" s="1"/>
  <c r="M285" i="11"/>
  <c r="L285" i="11"/>
  <c r="L283" i="11" s="1"/>
  <c r="O283" i="11" s="1"/>
  <c r="P284" i="11"/>
  <c r="O284" i="11"/>
  <c r="N282" i="11"/>
  <c r="N280" i="11" s="1"/>
  <c r="M282" i="11"/>
  <c r="L282" i="11"/>
  <c r="P281" i="11"/>
  <c r="O281" i="11"/>
  <c r="N278" i="11"/>
  <c r="M278" i="11"/>
  <c r="P278" i="11" s="1"/>
  <c r="L278" i="11"/>
  <c r="O278" i="11" s="1"/>
  <c r="J276" i="11"/>
  <c r="I271" i="11"/>
  <c r="K271" i="11" s="1"/>
  <c r="N269" i="11"/>
  <c r="N267" i="11" s="1"/>
  <c r="M269" i="11"/>
  <c r="P269" i="11" s="1"/>
  <c r="L269" i="11"/>
  <c r="P268" i="11"/>
  <c r="O268" i="11"/>
  <c r="N266" i="11"/>
  <c r="M266" i="11"/>
  <c r="M264" i="11" s="1"/>
  <c r="L266" i="11"/>
  <c r="P265" i="11"/>
  <c r="O265" i="11"/>
  <c r="N262" i="11"/>
  <c r="M262" i="11"/>
  <c r="L262" i="1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N227" i="11" s="1"/>
  <c r="J237" i="11"/>
  <c r="J226" i="11" s="1"/>
  <c r="J180" i="11" s="1"/>
  <c r="J236" i="11"/>
  <c r="I236" i="11"/>
  <c r="K236" i="11" s="1"/>
  <c r="K235" i="11"/>
  <c r="J235" i="11"/>
  <c r="I235" i="11"/>
  <c r="J233" i="11"/>
  <c r="N231" i="11"/>
  <c r="N230" i="11"/>
  <c r="N229" i="11"/>
  <c r="N228" i="1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I190" i="11" s="1"/>
  <c r="P191" i="11"/>
  <c r="L191" i="11"/>
  <c r="O191" i="11" s="1"/>
  <c r="J190" i="11"/>
  <c r="N189" i="11"/>
  <c r="N187" i="11" s="1"/>
  <c r="M189" i="11"/>
  <c r="M187" i="11" s="1"/>
  <c r="P187" i="11" s="1"/>
  <c r="L189" i="11"/>
  <c r="O189" i="11" s="1"/>
  <c r="P188" i="11"/>
  <c r="O188" i="11"/>
  <c r="N186" i="11"/>
  <c r="N184" i="11" s="1"/>
  <c r="M186" i="11"/>
  <c r="M184" i="11" s="1"/>
  <c r="L186" i="11"/>
  <c r="P185" i="11"/>
  <c r="O185" i="11"/>
  <c r="P182" i="11"/>
  <c r="O182" i="11"/>
  <c r="N182" i="11"/>
  <c r="M182" i="11"/>
  <c r="L182" i="11"/>
  <c r="J177" i="11"/>
  <c r="I176" i="11"/>
  <c r="K176" i="11" s="1"/>
  <c r="J174" i="11"/>
  <c r="J164" i="11" s="1"/>
  <c r="N173" i="11"/>
  <c r="N171" i="11" s="1"/>
  <c r="M173" i="11"/>
  <c r="P173" i="11" s="1"/>
  <c r="L173" i="11"/>
  <c r="O173" i="11" s="1"/>
  <c r="P172" i="11"/>
  <c r="O172" i="11"/>
  <c r="N170" i="11"/>
  <c r="M170" i="11"/>
  <c r="L170" i="11"/>
  <c r="P169" i="11"/>
  <c r="O169" i="11"/>
  <c r="P166" i="11"/>
  <c r="O166" i="11"/>
  <c r="N166" i="11"/>
  <c r="M166" i="11"/>
  <c r="L166" i="11"/>
  <c r="I159" i="11"/>
  <c r="I148" i="11" s="1"/>
  <c r="K148" i="11" s="1"/>
  <c r="N157" i="11"/>
  <c r="M157" i="11"/>
  <c r="P157" i="11" s="1"/>
  <c r="L157" i="11"/>
  <c r="P156" i="11"/>
  <c r="O156" i="11"/>
  <c r="N154" i="11"/>
  <c r="N152" i="11" s="1"/>
  <c r="M154" i="11"/>
  <c r="L154" i="11"/>
  <c r="P153" i="11"/>
  <c r="O153" i="11"/>
  <c r="N150" i="11"/>
  <c r="M150" i="11"/>
  <c r="L150" i="11"/>
  <c r="O150" i="11" s="1"/>
  <c r="J148" i="11"/>
  <c r="I146" i="11"/>
  <c r="I130" i="11" s="1"/>
  <c r="K130" i="11" s="1"/>
  <c r="I145" i="11"/>
  <c r="I144" i="11"/>
  <c r="K144" i="11" s="1"/>
  <c r="N140" i="11"/>
  <c r="N138" i="11" s="1"/>
  <c r="M140" i="11"/>
  <c r="M138" i="11" s="1"/>
  <c r="L140" i="11"/>
  <c r="L138" i="11" s="1"/>
  <c r="P139" i="11"/>
  <c r="O139" i="11"/>
  <c r="N137" i="11"/>
  <c r="M137" i="11"/>
  <c r="L137" i="11"/>
  <c r="P136" i="11"/>
  <c r="O136" i="11"/>
  <c r="P133" i="11"/>
  <c r="O133" i="11"/>
  <c r="N133" i="11"/>
  <c r="M133" i="11"/>
  <c r="L133" i="11"/>
  <c r="J130" i="11"/>
  <c r="N127" i="11"/>
  <c r="N125" i="11" s="1"/>
  <c r="M127" i="11"/>
  <c r="L127" i="11"/>
  <c r="P126" i="11"/>
  <c r="O126" i="11"/>
  <c r="N124" i="11"/>
  <c r="M124" i="11"/>
  <c r="P124" i="11" s="1"/>
  <c r="L124" i="11"/>
  <c r="L122" i="11" s="1"/>
  <c r="O122" i="11" s="1"/>
  <c r="P123" i="11"/>
  <c r="O123" i="11"/>
  <c r="O120" i="11"/>
  <c r="N120" i="11"/>
  <c r="M120" i="11"/>
  <c r="P120" i="11" s="1"/>
  <c r="L120" i="11"/>
  <c r="K118" i="11"/>
  <c r="J118" i="1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J98" i="11"/>
  <c r="I98" i="11"/>
  <c r="K98" i="11" s="1"/>
  <c r="N96" i="11"/>
  <c r="N94" i="11" s="1"/>
  <c r="M96" i="11"/>
  <c r="M94" i="11" s="1"/>
  <c r="P94" i="11" s="1"/>
  <c r="L96" i="11"/>
  <c r="P95" i="11"/>
  <c r="O95" i="11"/>
  <c r="N93" i="11"/>
  <c r="M93" i="11"/>
  <c r="M91" i="11" s="1"/>
  <c r="L93" i="11"/>
  <c r="L91" i="11" s="1"/>
  <c r="P92" i="11"/>
  <c r="O92" i="11"/>
  <c r="N89" i="11"/>
  <c r="M89" i="11"/>
  <c r="L89" i="11"/>
  <c r="O89" i="11" s="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K78" i="11" s="1"/>
  <c r="J77" i="11"/>
  <c r="J76" i="11"/>
  <c r="J64" i="11" s="1"/>
  <c r="N74" i="11"/>
  <c r="N72" i="11" s="1"/>
  <c r="M74" i="11"/>
  <c r="L74" i="11"/>
  <c r="L72" i="11" s="1"/>
  <c r="O72" i="11" s="1"/>
  <c r="P73" i="11"/>
  <c r="O73" i="11"/>
  <c r="N71" i="11"/>
  <c r="N69" i="11" s="1"/>
  <c r="M71" i="11"/>
  <c r="L71" i="11"/>
  <c r="L69" i="11" s="1"/>
  <c r="P70" i="11"/>
  <c r="O70" i="11"/>
  <c r="N67" i="11"/>
  <c r="M67" i="11"/>
  <c r="P67" i="11" s="1"/>
  <c r="L67" i="11"/>
  <c r="J65" i="11"/>
  <c r="N61" i="11"/>
  <c r="N59" i="11" s="1"/>
  <c r="M61" i="11"/>
  <c r="M59" i="11" s="1"/>
  <c r="L61" i="11"/>
  <c r="P60" i="11"/>
  <c r="O60" i="11"/>
  <c r="N58" i="11"/>
  <c r="M58" i="11"/>
  <c r="M56" i="11" s="1"/>
  <c r="L58" i="11"/>
  <c r="L56" i="11" s="1"/>
  <c r="P57" i="11"/>
  <c r="O57" i="11"/>
  <c r="P54" i="11"/>
  <c r="O54" i="11"/>
  <c r="N54" i="11"/>
  <c r="M54" i="11"/>
  <c r="L54" i="11"/>
  <c r="N49" i="11"/>
  <c r="N47" i="11" s="1"/>
  <c r="M49" i="11"/>
  <c r="L49" i="11"/>
  <c r="L47" i="11" s="1"/>
  <c r="O47" i="11" s="1"/>
  <c r="P48" i="11"/>
  <c r="O48" i="11"/>
  <c r="N46" i="11"/>
  <c r="N44" i="11" s="1"/>
  <c r="M46" i="11"/>
  <c r="L46" i="11"/>
  <c r="L44" i="11" s="1"/>
  <c r="P45" i="11"/>
  <c r="O45" i="11"/>
  <c r="N42" i="11"/>
  <c r="M42" i="11"/>
  <c r="P42" i="11" s="1"/>
  <c r="L42" i="11"/>
  <c r="P36" i="11"/>
  <c r="N36" i="11"/>
  <c r="M36" i="11"/>
  <c r="O35" i="11"/>
  <c r="N35" i="11"/>
  <c r="N34" i="11" s="1"/>
  <c r="M35" i="11"/>
  <c r="P35" i="11" s="1"/>
  <c r="L35" i="11"/>
  <c r="M34" i="11"/>
  <c r="P34" i="11" s="1"/>
  <c r="P32" i="11"/>
  <c r="N32" i="11"/>
  <c r="M32" i="11"/>
  <c r="L32" i="11"/>
  <c r="O32" i="11" s="1"/>
  <c r="M29" i="11"/>
  <c r="P29" i="11" s="1"/>
  <c r="P25" i="11"/>
  <c r="N25" i="11"/>
  <c r="M25" i="11"/>
  <c r="L25" i="11"/>
  <c r="O25" i="11" s="1"/>
  <c r="O22" i="11"/>
  <c r="N22" i="11"/>
  <c r="M22" i="11"/>
  <c r="P22" i="11" s="1"/>
  <c r="L22" i="11"/>
  <c r="L19" i="11"/>
  <c r="O19" i="11" s="1"/>
  <c r="N15" i="11"/>
  <c r="M15" i="11"/>
  <c r="P15" i="11" s="1"/>
  <c r="L12" i="11"/>
  <c r="O12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L789" i="10" s="1"/>
  <c r="O789" i="10" s="1"/>
  <c r="P790" i="10"/>
  <c r="O790" i="10"/>
  <c r="P789" i="10"/>
  <c r="N789" i="10"/>
  <c r="M789" i="10"/>
  <c r="M788" i="10"/>
  <c r="P787" i="10"/>
  <c r="N787" i="10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N685" i="10" s="1"/>
  <c r="L690" i="10"/>
  <c r="P688" i="10"/>
  <c r="N688" i="10"/>
  <c r="M688" i="10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K673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P659" i="10"/>
  <c r="O659" i="10"/>
  <c r="P658" i="10"/>
  <c r="N658" i="10"/>
  <c r="M658" i="10"/>
  <c r="P657" i="10"/>
  <c r="N657" i="10"/>
  <c r="M657" i="10"/>
  <c r="O656" i="10"/>
  <c r="N656" i="10"/>
  <c r="M656" i="10"/>
  <c r="P656" i="10" s="1"/>
  <c r="L656" i="10"/>
  <c r="N655" i="10"/>
  <c r="M655" i="10"/>
  <c r="P655" i="10" s="1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N639" i="10"/>
  <c r="M639" i="10"/>
  <c r="P639" i="10" s="1"/>
  <c r="N634" i="10"/>
  <c r="L634" i="10"/>
  <c r="M634" i="10" s="1"/>
  <c r="P634" i="10" s="1"/>
  <c r="P633" i="10"/>
  <c r="O633" i="10"/>
  <c r="N632" i="10"/>
  <c r="N631" i="10"/>
  <c r="P630" i="10"/>
  <c r="N630" i="10"/>
  <c r="M630" i="10"/>
  <c r="L630" i="10"/>
  <c r="N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J583" i="10"/>
  <c r="J582" i="10"/>
  <c r="J577" i="10"/>
  <c r="I577" i="10"/>
  <c r="J576" i="10"/>
  <c r="I576" i="10"/>
  <c r="J569" i="10"/>
  <c r="I569" i="10"/>
  <c r="J568" i="10"/>
  <c r="I568" i="10"/>
  <c r="K568" i="10" s="1"/>
  <c r="J561" i="10"/>
  <c r="I561" i="10"/>
  <c r="J560" i="10"/>
  <c r="I560" i="10"/>
  <c r="K560" i="10" s="1"/>
  <c r="J559" i="10"/>
  <c r="J543" i="10" s="1"/>
  <c r="P557" i="10"/>
  <c r="L557" i="10"/>
  <c r="O557" i="10" s="1"/>
  <c r="P556" i="10"/>
  <c r="O556" i="10"/>
  <c r="P555" i="10"/>
  <c r="N555" i="10"/>
  <c r="M555" i="10"/>
  <c r="N549" i="10"/>
  <c r="N547" i="10" s="1"/>
  <c r="L549" i="10"/>
  <c r="M549" i="10" s="1"/>
  <c r="M547" i="10" s="1"/>
  <c r="P547" i="10" s="1"/>
  <c r="P548" i="10"/>
  <c r="O548" i="10"/>
  <c r="N546" i="10"/>
  <c r="P545" i="10"/>
  <c r="O545" i="10"/>
  <c r="N545" i="10"/>
  <c r="M545" i="10"/>
  <c r="L545" i="10"/>
  <c r="N544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P534" i="10"/>
  <c r="O534" i="10"/>
  <c r="P533" i="10"/>
  <c r="N533" i="10"/>
  <c r="M533" i="10"/>
  <c r="P528" i="10"/>
  <c r="N528" i="10"/>
  <c r="L528" i="10"/>
  <c r="L526" i="10" s="1"/>
  <c r="O526" i="10" s="1"/>
  <c r="P527" i="10"/>
  <c r="O527" i="10"/>
  <c r="P526" i="10"/>
  <c r="N526" i="10"/>
  <c r="M526" i="10"/>
  <c r="N525" i="10"/>
  <c r="M525" i="10"/>
  <c r="P525" i="10" s="1"/>
  <c r="N524" i="10"/>
  <c r="N523" i="10" s="1"/>
  <c r="M524" i="10"/>
  <c r="P524" i="10" s="1"/>
  <c r="L524" i="10"/>
  <c r="O524" i="10" s="1"/>
  <c r="K517" i="10"/>
  <c r="J517" i="10"/>
  <c r="J501" i="10" s="1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N504" i="10" s="1"/>
  <c r="N502" i="10" s="1"/>
  <c r="P506" i="10"/>
  <c r="O506" i="10"/>
  <c r="M505" i="10"/>
  <c r="P505" i="10" s="1"/>
  <c r="L505" i="10"/>
  <c r="O505" i="10" s="1"/>
  <c r="M504" i="10"/>
  <c r="L504" i="10"/>
  <c r="O504" i="10" s="1"/>
  <c r="P503" i="10"/>
  <c r="N503" i="10"/>
  <c r="M503" i="10"/>
  <c r="L503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N477" i="10"/>
  <c r="M477" i="10"/>
  <c r="P477" i="10" s="1"/>
  <c r="N472" i="10"/>
  <c r="L472" i="10"/>
  <c r="L470" i="10" s="1"/>
  <c r="O470" i="10" s="1"/>
  <c r="P471" i="10"/>
  <c r="O471" i="10"/>
  <c r="N470" i="10"/>
  <c r="N469" i="10"/>
  <c r="N467" i="10" s="1"/>
  <c r="N414" i="10" s="1"/>
  <c r="N468" i="10"/>
  <c r="M468" i="10"/>
  <c r="L468" i="10"/>
  <c r="O468" i="10" s="1"/>
  <c r="J466" i="10"/>
  <c r="I466" i="10"/>
  <c r="K466" i="10" s="1"/>
  <c r="J465" i="10"/>
  <c r="I465" i="10"/>
  <c r="K465" i="10" s="1"/>
  <c r="I464" i="10"/>
  <c r="K464" i="10" s="1"/>
  <c r="I463" i="10"/>
  <c r="K463" i="10" s="1"/>
  <c r="I462" i="10"/>
  <c r="K462" i="10" s="1"/>
  <c r="I460" i="10"/>
  <c r="I442" i="10" s="1"/>
  <c r="K442" i="10" s="1"/>
  <c r="K458" i="10"/>
  <c r="P456" i="10"/>
  <c r="L456" i="10"/>
  <c r="O456" i="10" s="1"/>
  <c r="P455" i="10"/>
  <c r="O455" i="10"/>
  <c r="N454" i="10"/>
  <c r="M454" i="10"/>
  <c r="P454" i="10" s="1"/>
  <c r="N449" i="10"/>
  <c r="N447" i="10" s="1"/>
  <c r="L449" i="10"/>
  <c r="L447" i="10" s="1"/>
  <c r="P448" i="10"/>
  <c r="O448" i="10"/>
  <c r="N446" i="10"/>
  <c r="P445" i="10"/>
  <c r="O445" i="10"/>
  <c r="N445" i="10"/>
  <c r="M445" i="10"/>
  <c r="L445" i="10"/>
  <c r="N444" i="10"/>
  <c r="J443" i="10"/>
  <c r="J442" i="10"/>
  <c r="I441" i="10"/>
  <c r="K441" i="10" s="1"/>
  <c r="I440" i="10"/>
  <c r="I439" i="10"/>
  <c r="K439" i="10" s="1"/>
  <c r="I438" i="10"/>
  <c r="K438" i="10" s="1"/>
  <c r="I437" i="10"/>
  <c r="K437" i="10" s="1"/>
  <c r="I435" i="10"/>
  <c r="K435" i="10" s="1"/>
  <c r="J434" i="10"/>
  <c r="J418" i="10" s="1"/>
  <c r="P431" i="10"/>
  <c r="L431" i="10"/>
  <c r="P430" i="10"/>
  <c r="O430" i="10"/>
  <c r="N429" i="10"/>
  <c r="M429" i="10"/>
  <c r="P429" i="10" s="1"/>
  <c r="N424" i="10"/>
  <c r="L424" i="10"/>
  <c r="P423" i="10"/>
  <c r="O423" i="10"/>
  <c r="N422" i="10"/>
  <c r="N421" i="10"/>
  <c r="P420" i="10"/>
  <c r="N420" i="10"/>
  <c r="M420" i="10"/>
  <c r="L420" i="10"/>
  <c r="N419" i="10"/>
  <c r="K413" i="10"/>
  <c r="K412" i="10"/>
  <c r="N410" i="10"/>
  <c r="N408" i="10" s="1"/>
  <c r="M410" i="10"/>
  <c r="L410" i="10"/>
  <c r="P409" i="10"/>
  <c r="O409" i="10"/>
  <c r="N407" i="10"/>
  <c r="M407" i="10"/>
  <c r="L407" i="10"/>
  <c r="O407" i="10" s="1"/>
  <c r="P406" i="10"/>
  <c r="O406" i="10"/>
  <c r="P403" i="10"/>
  <c r="O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P397" i="10" s="1"/>
  <c r="L397" i="10"/>
  <c r="P396" i="10"/>
  <c r="O396" i="10"/>
  <c r="N394" i="10"/>
  <c r="N392" i="10" s="1"/>
  <c r="M394" i="10"/>
  <c r="P394" i="10" s="1"/>
  <c r="L394" i="10"/>
  <c r="P393" i="10"/>
  <c r="O393" i="10"/>
  <c r="P390" i="10"/>
  <c r="N390" i="10"/>
  <c r="M390" i="10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L353" i="10"/>
  <c r="P352" i="10"/>
  <c r="O352" i="10"/>
  <c r="N350" i="10"/>
  <c r="N348" i="10" s="1"/>
  <c r="M350" i="10"/>
  <c r="L350" i="10"/>
  <c r="P349" i="10"/>
  <c r="O349" i="10"/>
  <c r="P346" i="10"/>
  <c r="N346" i="10"/>
  <c r="M346" i="10"/>
  <c r="L346" i="10"/>
  <c r="O346" i="10" s="1"/>
  <c r="J343" i="10"/>
  <c r="J342" i="10"/>
  <c r="J341" i="10"/>
  <c r="J340" i="10"/>
  <c r="I340" i="10"/>
  <c r="J338" i="10"/>
  <c r="I338" i="10"/>
  <c r="N336" i="10"/>
  <c r="N334" i="10" s="1"/>
  <c r="M336" i="10"/>
  <c r="L336" i="10"/>
  <c r="P335" i="10"/>
  <c r="O335" i="10"/>
  <c r="N333" i="10"/>
  <c r="M333" i="10"/>
  <c r="M331" i="10" s="1"/>
  <c r="L333" i="10"/>
  <c r="L331" i="10" s="1"/>
  <c r="P332" i="10"/>
  <c r="O332" i="10"/>
  <c r="P329" i="10"/>
  <c r="O329" i="10"/>
  <c r="N329" i="10"/>
  <c r="M329" i="10"/>
  <c r="L329" i="10"/>
  <c r="I327" i="10"/>
  <c r="I325" i="10"/>
  <c r="K325" i="10" s="1"/>
  <c r="N323" i="10"/>
  <c r="N321" i="10" s="1"/>
  <c r="M323" i="10"/>
  <c r="P323" i="10" s="1"/>
  <c r="L323" i="10"/>
  <c r="O323" i="10" s="1"/>
  <c r="P322" i="10"/>
  <c r="O322" i="10"/>
  <c r="N320" i="10"/>
  <c r="N318" i="10" s="1"/>
  <c r="M320" i="10"/>
  <c r="P320" i="10" s="1"/>
  <c r="L320" i="10"/>
  <c r="L318" i="10" s="1"/>
  <c r="O318" i="10" s="1"/>
  <c r="P319" i="10"/>
  <c r="O319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P305" i="10"/>
  <c r="O305" i="10"/>
  <c r="N303" i="10"/>
  <c r="N301" i="10" s="1"/>
  <c r="M303" i="10"/>
  <c r="M301" i="10" s="1"/>
  <c r="L303" i="10"/>
  <c r="L301" i="10" s="1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75" i="10" s="1"/>
  <c r="I287" i="10"/>
  <c r="N285" i="10"/>
  <c r="N283" i="10" s="1"/>
  <c r="M285" i="10"/>
  <c r="M283" i="10" s="1"/>
  <c r="P283" i="10" s="1"/>
  <c r="L285" i="10"/>
  <c r="O285" i="10" s="1"/>
  <c r="P284" i="10"/>
  <c r="O284" i="10"/>
  <c r="N282" i="10"/>
  <c r="M282" i="10"/>
  <c r="L282" i="10"/>
  <c r="L280" i="10" s="1"/>
  <c r="P281" i="10"/>
  <c r="O281" i="10"/>
  <c r="O278" i="10"/>
  <c r="N278" i="10"/>
  <c r="M278" i="10"/>
  <c r="L278" i="10"/>
  <c r="J276" i="10"/>
  <c r="I271" i="10"/>
  <c r="K271" i="10" s="1"/>
  <c r="N269" i="10"/>
  <c r="N267" i="10" s="1"/>
  <c r="M269" i="10"/>
  <c r="P269" i="10" s="1"/>
  <c r="L269" i="10"/>
  <c r="L267" i="10" s="1"/>
  <c r="O267" i="10" s="1"/>
  <c r="P268" i="10"/>
  <c r="O268" i="10"/>
  <c r="N266" i="10"/>
  <c r="M266" i="10"/>
  <c r="M264" i="10" s="1"/>
  <c r="L266" i="10"/>
  <c r="L264" i="10" s="1"/>
  <c r="P265" i="10"/>
  <c r="O265" i="10"/>
  <c r="N262" i="10"/>
  <c r="M262" i="10"/>
  <c r="P262" i="10" s="1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N227" i="10" s="1"/>
  <c r="J237" i="10"/>
  <c r="J226" i="10" s="1"/>
  <c r="J180" i="10" s="1"/>
  <c r="J236" i="10"/>
  <c r="I236" i="10"/>
  <c r="K236" i="10" s="1"/>
  <c r="K235" i="10"/>
  <c r="J235" i="10"/>
  <c r="I235" i="10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P191" i="10"/>
  <c r="L191" i="10"/>
  <c r="O191" i="10" s="1"/>
  <c r="J190" i="10"/>
  <c r="N189" i="10"/>
  <c r="N187" i="10" s="1"/>
  <c r="M189" i="10"/>
  <c r="M187" i="10" s="1"/>
  <c r="P187" i="10" s="1"/>
  <c r="L189" i="10"/>
  <c r="P188" i="10"/>
  <c r="O188" i="10"/>
  <c r="N186" i="10"/>
  <c r="N184" i="10" s="1"/>
  <c r="M186" i="10"/>
  <c r="M184" i="10" s="1"/>
  <c r="L186" i="10"/>
  <c r="P185" i="10"/>
  <c r="O185" i="10"/>
  <c r="P182" i="10"/>
  <c r="O182" i="10"/>
  <c r="N182" i="10"/>
  <c r="M182" i="10"/>
  <c r="L182" i="10"/>
  <c r="J177" i="10"/>
  <c r="I176" i="10"/>
  <c r="K176" i="10" s="1"/>
  <c r="J174" i="10"/>
  <c r="N173" i="10"/>
  <c r="N171" i="10" s="1"/>
  <c r="M173" i="10"/>
  <c r="L173" i="10"/>
  <c r="O173" i="10" s="1"/>
  <c r="P172" i="10"/>
  <c r="O172" i="10"/>
  <c r="N170" i="10"/>
  <c r="M170" i="10"/>
  <c r="L170" i="10"/>
  <c r="P169" i="10"/>
  <c r="O169" i="10"/>
  <c r="P166" i="10"/>
  <c r="O166" i="10"/>
  <c r="N166" i="10"/>
  <c r="M166" i="10"/>
  <c r="L166" i="10"/>
  <c r="J164" i="10"/>
  <c r="I159" i="10"/>
  <c r="N157" i="10"/>
  <c r="N155" i="10" s="1"/>
  <c r="M157" i="10"/>
  <c r="P157" i="10" s="1"/>
  <c r="L157" i="10"/>
  <c r="L155" i="10" s="1"/>
  <c r="O155" i="10" s="1"/>
  <c r="P156" i="10"/>
  <c r="O156" i="10"/>
  <c r="N154" i="10"/>
  <c r="N152" i="10" s="1"/>
  <c r="M154" i="10"/>
  <c r="P154" i="10" s="1"/>
  <c r="L154" i="10"/>
  <c r="P153" i="10"/>
  <c r="O153" i="10"/>
  <c r="N150" i="10"/>
  <c r="M150" i="10"/>
  <c r="P150" i="10" s="1"/>
  <c r="L150" i="10"/>
  <c r="O150" i="10" s="1"/>
  <c r="J148" i="10"/>
  <c r="I146" i="10"/>
  <c r="I145" i="10"/>
  <c r="I143" i="10" s="1"/>
  <c r="I144" i="10"/>
  <c r="K144" i="10" s="1"/>
  <c r="N140" i="10"/>
  <c r="M140" i="10"/>
  <c r="M138" i="10" s="1"/>
  <c r="L140" i="10"/>
  <c r="L138" i="10" s="1"/>
  <c r="P139" i="10"/>
  <c r="O139" i="10"/>
  <c r="N137" i="10"/>
  <c r="N135" i="10" s="1"/>
  <c r="M137" i="10"/>
  <c r="L137" i="10"/>
  <c r="P136" i="10"/>
  <c r="O136" i="10"/>
  <c r="P133" i="10"/>
  <c r="O133" i="10"/>
  <c r="N133" i="10"/>
  <c r="M133" i="10"/>
  <c r="L133" i="10"/>
  <c r="J130" i="10"/>
  <c r="N127" i="10"/>
  <c r="N125" i="10" s="1"/>
  <c r="M127" i="10"/>
  <c r="P127" i="10" s="1"/>
  <c r="L127" i="10"/>
  <c r="P126" i="10"/>
  <c r="O126" i="10"/>
  <c r="N124" i="10"/>
  <c r="N122" i="10" s="1"/>
  <c r="M124" i="10"/>
  <c r="P124" i="10" s="1"/>
  <c r="L124" i="10"/>
  <c r="P123" i="10"/>
  <c r="O123" i="10"/>
  <c r="N120" i="10"/>
  <c r="M120" i="10"/>
  <c r="P120" i="10" s="1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K99" i="10" s="1"/>
  <c r="J98" i="10"/>
  <c r="J86" i="10" s="1"/>
  <c r="I98" i="10"/>
  <c r="I86" i="10" s="1"/>
  <c r="N96" i="10"/>
  <c r="N94" i="10" s="1"/>
  <c r="M96" i="10"/>
  <c r="P96" i="10" s="1"/>
  <c r="L96" i="10"/>
  <c r="O96" i="10" s="1"/>
  <c r="P95" i="10"/>
  <c r="O95" i="10"/>
  <c r="N93" i="10"/>
  <c r="N91" i="10" s="1"/>
  <c r="M93" i="10"/>
  <c r="L93" i="10"/>
  <c r="P92" i="10"/>
  <c r="O92" i="10"/>
  <c r="P89" i="10"/>
  <c r="N89" i="10"/>
  <c r="M89" i="10"/>
  <c r="L89" i="10"/>
  <c r="O89" i="10" s="1"/>
  <c r="J87" i="10"/>
  <c r="I84" i="10"/>
  <c r="K84" i="10" s="1"/>
  <c r="I83" i="10"/>
  <c r="K83" i="10" s="1"/>
  <c r="I82" i="10"/>
  <c r="K82" i="10" s="1"/>
  <c r="I81" i="10"/>
  <c r="K81" i="10" s="1"/>
  <c r="I80" i="10"/>
  <c r="I79" i="10"/>
  <c r="K79" i="10" s="1"/>
  <c r="I78" i="10"/>
  <c r="K78" i="10" s="1"/>
  <c r="J77" i="10"/>
  <c r="J76" i="10"/>
  <c r="J64" i="10" s="1"/>
  <c r="N74" i="10"/>
  <c r="N72" i="10" s="1"/>
  <c r="M74" i="10"/>
  <c r="P74" i="10" s="1"/>
  <c r="L74" i="10"/>
  <c r="O74" i="10" s="1"/>
  <c r="P73" i="10"/>
  <c r="O73" i="10"/>
  <c r="N71" i="10"/>
  <c r="N69" i="10" s="1"/>
  <c r="M71" i="10"/>
  <c r="L71" i="10"/>
  <c r="P70" i="10"/>
  <c r="O70" i="10"/>
  <c r="P67" i="10"/>
  <c r="O67" i="10"/>
  <c r="N67" i="10"/>
  <c r="M67" i="10"/>
  <c r="L67" i="10"/>
  <c r="J65" i="10"/>
  <c r="N61" i="10"/>
  <c r="N59" i="10" s="1"/>
  <c r="M61" i="10"/>
  <c r="P61" i="10" s="1"/>
  <c r="L61" i="10"/>
  <c r="L59" i="10" s="1"/>
  <c r="O59" i="10" s="1"/>
  <c r="P60" i="10"/>
  <c r="O60" i="10"/>
  <c r="N58" i="10"/>
  <c r="N56" i="10" s="1"/>
  <c r="M58" i="10"/>
  <c r="L58" i="10"/>
  <c r="L56" i="10" s="1"/>
  <c r="P57" i="10"/>
  <c r="O57" i="10"/>
  <c r="O54" i="10"/>
  <c r="N54" i="10"/>
  <c r="M54" i="10"/>
  <c r="P54" i="10" s="1"/>
  <c r="L54" i="10"/>
  <c r="N49" i="10"/>
  <c r="N47" i="10" s="1"/>
  <c r="M49" i="10"/>
  <c r="L49" i="10"/>
  <c r="O49" i="10" s="1"/>
  <c r="P48" i="10"/>
  <c r="O48" i="10"/>
  <c r="N46" i="10"/>
  <c r="N44" i="10" s="1"/>
  <c r="M46" i="10"/>
  <c r="L46" i="10"/>
  <c r="P45" i="10"/>
  <c r="O45" i="10"/>
  <c r="P42" i="10"/>
  <c r="N42" i="10"/>
  <c r="M42" i="10"/>
  <c r="L42" i="10"/>
  <c r="O42" i="10" s="1"/>
  <c r="N36" i="10"/>
  <c r="M36" i="10"/>
  <c r="P36" i="10" s="1"/>
  <c r="P35" i="10"/>
  <c r="N35" i="10"/>
  <c r="M35" i="10"/>
  <c r="M34" i="10" s="1"/>
  <c r="P34" i="10" s="1"/>
  <c r="L35" i="10"/>
  <c r="O35" i="10" s="1"/>
  <c r="N34" i="10"/>
  <c r="N33" i="10"/>
  <c r="N30" i="10" s="1"/>
  <c r="N28" i="10" s="1"/>
  <c r="O32" i="10"/>
  <c r="N32" i="10"/>
  <c r="M32" i="10"/>
  <c r="P32" i="10" s="1"/>
  <c r="L32" i="10"/>
  <c r="N31" i="10"/>
  <c r="N29" i="10"/>
  <c r="L29" i="10"/>
  <c r="O29" i="10" s="1"/>
  <c r="O25" i="10"/>
  <c r="N25" i="10"/>
  <c r="M25" i="10"/>
  <c r="P25" i="10" s="1"/>
  <c r="L25" i="10"/>
  <c r="P22" i="10"/>
  <c r="N22" i="10"/>
  <c r="N19" i="10" s="1"/>
  <c r="M22" i="10"/>
  <c r="L22" i="10"/>
  <c r="O22" i="10" s="1"/>
  <c r="M19" i="10"/>
  <c r="P19" i="10" s="1"/>
  <c r="N15" i="10"/>
  <c r="L15" i="10"/>
  <c r="O15" i="10" s="1"/>
  <c r="M12" i="10"/>
  <c r="P12" i="10" s="1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O791" i="9" s="1"/>
  <c r="P790" i="9"/>
  <c r="O790" i="9"/>
  <c r="P789" i="9"/>
  <c r="M789" i="9"/>
  <c r="M788" i="9"/>
  <c r="P787" i="9"/>
  <c r="N787" i="9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O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N685" i="9" s="1"/>
  <c r="L690" i="9"/>
  <c r="P688" i="9"/>
  <c r="N688" i="9"/>
  <c r="M688" i="9"/>
  <c r="M687" i="9"/>
  <c r="P686" i="9"/>
  <c r="N686" i="9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K674" i="9" s="1"/>
  <c r="P667" i="9"/>
  <c r="O667" i="9"/>
  <c r="P666" i="9"/>
  <c r="O666" i="9"/>
  <c r="P665" i="9"/>
  <c r="N665" i="9"/>
  <c r="M665" i="9"/>
  <c r="L665" i="9"/>
  <c r="O665" i="9" s="1"/>
  <c r="P660" i="9"/>
  <c r="N660" i="9"/>
  <c r="L660" i="9"/>
  <c r="P659" i="9"/>
  <c r="O659" i="9"/>
  <c r="N658" i="9"/>
  <c r="M658" i="9"/>
  <c r="P658" i="9" s="1"/>
  <c r="P657" i="9"/>
  <c r="N657" i="9"/>
  <c r="M657" i="9"/>
  <c r="O656" i="9"/>
  <c r="N656" i="9"/>
  <c r="M656" i="9"/>
  <c r="M655" i="9" s="1"/>
  <c r="P655" i="9" s="1"/>
  <c r="L656" i="9"/>
  <c r="N655" i="9"/>
  <c r="K652" i="9"/>
  <c r="J652" i="9"/>
  <c r="J651" i="9"/>
  <c r="I651" i="9"/>
  <c r="I628" i="9" s="1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P639" i="9"/>
  <c r="N639" i="9"/>
  <c r="M639" i="9"/>
  <c r="L639" i="9"/>
  <c r="O639" i="9" s="1"/>
  <c r="N634" i="9"/>
  <c r="L634" i="9"/>
  <c r="P633" i="9"/>
  <c r="O633" i="9"/>
  <c r="N632" i="9"/>
  <c r="N631" i="9"/>
  <c r="P630" i="9"/>
  <c r="N630" i="9"/>
  <c r="M630" i="9"/>
  <c r="L630" i="9"/>
  <c r="N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3" i="9" s="1"/>
  <c r="J592" i="9" s="1"/>
  <c r="J594" i="9"/>
  <c r="I594" i="9"/>
  <c r="K594" i="9" s="1"/>
  <c r="I593" i="9"/>
  <c r="J583" i="9"/>
  <c r="J577" i="9" s="1"/>
  <c r="J582" i="9"/>
  <c r="I577" i="9"/>
  <c r="J576" i="9"/>
  <c r="J559" i="9" s="1"/>
  <c r="J543" i="9" s="1"/>
  <c r="I576" i="9"/>
  <c r="K576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P555" i="9"/>
  <c r="N555" i="9"/>
  <c r="M555" i="9"/>
  <c r="N549" i="9"/>
  <c r="N547" i="9" s="1"/>
  <c r="L549" i="9"/>
  <c r="P548" i="9"/>
  <c r="O548" i="9"/>
  <c r="N546" i="9"/>
  <c r="P545" i="9"/>
  <c r="N545" i="9"/>
  <c r="N544" i="9" s="1"/>
  <c r="M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L533" i="9" s="1"/>
  <c r="O533" i="9" s="1"/>
  <c r="P534" i="9"/>
  <c r="O534" i="9"/>
  <c r="N533" i="9"/>
  <c r="M533" i="9"/>
  <c r="P533" i="9" s="1"/>
  <c r="P528" i="9"/>
  <c r="N528" i="9"/>
  <c r="N525" i="9" s="1"/>
  <c r="L528" i="9"/>
  <c r="O528" i="9" s="1"/>
  <c r="P527" i="9"/>
  <c r="O527" i="9"/>
  <c r="P526" i="9"/>
  <c r="N526" i="9"/>
  <c r="M526" i="9"/>
  <c r="M525" i="9"/>
  <c r="P525" i="9" s="1"/>
  <c r="P524" i="9"/>
  <c r="N524" i="9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N504" i="9" s="1"/>
  <c r="N502" i="9" s="1"/>
  <c r="P506" i="9"/>
  <c r="O506" i="9"/>
  <c r="P505" i="9"/>
  <c r="N505" i="9"/>
  <c r="M505" i="9"/>
  <c r="L505" i="9"/>
  <c r="O505" i="9" s="1"/>
  <c r="O504" i="9"/>
  <c r="M504" i="9"/>
  <c r="L504" i="9"/>
  <c r="P503" i="9"/>
  <c r="N503" i="9"/>
  <c r="M503" i="9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70" i="9" s="1"/>
  <c r="L472" i="9"/>
  <c r="M472" i="9" s="1"/>
  <c r="P471" i="9"/>
  <c r="O471" i="9"/>
  <c r="N469" i="9"/>
  <c r="N467" i="9" s="1"/>
  <c r="O468" i="9"/>
  <c r="N468" i="9"/>
  <c r="M468" i="9"/>
  <c r="L468" i="9"/>
  <c r="J466" i="9"/>
  <c r="I466" i="9"/>
  <c r="K466" i="9" s="1"/>
  <c r="J465" i="9"/>
  <c r="I465" i="9"/>
  <c r="K465" i="9" s="1"/>
  <c r="I464" i="9"/>
  <c r="K464" i="9" s="1"/>
  <c r="I463" i="9"/>
  <c r="K463" i="9" s="1"/>
  <c r="I462" i="9"/>
  <c r="I460" i="9"/>
  <c r="K460" i="9" s="1"/>
  <c r="K458" i="9"/>
  <c r="P456" i="9"/>
  <c r="L456" i="9"/>
  <c r="P455" i="9"/>
  <c r="O455" i="9"/>
  <c r="P454" i="9"/>
  <c r="N454" i="9"/>
  <c r="M454" i="9"/>
  <c r="N449" i="9"/>
  <c r="N447" i="9" s="1"/>
  <c r="L449" i="9"/>
  <c r="P448" i="9"/>
  <c r="O448" i="9"/>
  <c r="N446" i="9"/>
  <c r="O445" i="9"/>
  <c r="N445" i="9"/>
  <c r="N444" i="9" s="1"/>
  <c r="M445" i="9"/>
  <c r="P445" i="9" s="1"/>
  <c r="L445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J434" i="9"/>
  <c r="J418" i="9" s="1"/>
  <c r="P431" i="9"/>
  <c r="L431" i="9"/>
  <c r="L429" i="9" s="1"/>
  <c r="O429" i="9" s="1"/>
  <c r="P430" i="9"/>
  <c r="O430" i="9"/>
  <c r="P429" i="9"/>
  <c r="N429" i="9"/>
  <c r="M429" i="9"/>
  <c r="N424" i="9"/>
  <c r="L424" i="9"/>
  <c r="P423" i="9"/>
  <c r="O423" i="9"/>
  <c r="N422" i="9"/>
  <c r="N421" i="9"/>
  <c r="P420" i="9"/>
  <c r="N420" i="9"/>
  <c r="M420" i="9"/>
  <c r="L420" i="9"/>
  <c r="N419" i="9"/>
  <c r="K413" i="9"/>
  <c r="K412" i="9"/>
  <c r="N410" i="9"/>
  <c r="M410" i="9"/>
  <c r="L410" i="9"/>
  <c r="P409" i="9"/>
  <c r="O409" i="9"/>
  <c r="N407" i="9"/>
  <c r="N405" i="9" s="1"/>
  <c r="M407" i="9"/>
  <c r="L407" i="9"/>
  <c r="O407" i="9" s="1"/>
  <c r="P406" i="9"/>
  <c r="O406" i="9"/>
  <c r="P403" i="9"/>
  <c r="N403" i="9"/>
  <c r="M403" i="9"/>
  <c r="L403" i="9"/>
  <c r="O403" i="9" s="1"/>
  <c r="J401" i="9"/>
  <c r="I401" i="9"/>
  <c r="K401" i="9" s="1"/>
  <c r="K400" i="9"/>
  <c r="K399" i="9"/>
  <c r="N397" i="9"/>
  <c r="N395" i="9" s="1"/>
  <c r="M397" i="9"/>
  <c r="L397" i="9"/>
  <c r="O397" i="9" s="1"/>
  <c r="P396" i="9"/>
  <c r="O396" i="9"/>
  <c r="N394" i="9"/>
  <c r="N392" i="9" s="1"/>
  <c r="M394" i="9"/>
  <c r="L394" i="9"/>
  <c r="O394" i="9" s="1"/>
  <c r="P393" i="9"/>
  <c r="O393" i="9"/>
  <c r="P390" i="9"/>
  <c r="O390" i="9"/>
  <c r="N390" i="9"/>
  <c r="M390" i="9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M351" i="9" s="1"/>
  <c r="L353" i="9"/>
  <c r="P352" i="9"/>
  <c r="O352" i="9"/>
  <c r="N350" i="9"/>
  <c r="N348" i="9" s="1"/>
  <c r="M350" i="9"/>
  <c r="M348" i="9" s="1"/>
  <c r="L350" i="9"/>
  <c r="L348" i="9" s="1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O336" i="9" s="1"/>
  <c r="P335" i="9"/>
  <c r="O335" i="9"/>
  <c r="N333" i="9"/>
  <c r="N331" i="9" s="1"/>
  <c r="M333" i="9"/>
  <c r="L333" i="9"/>
  <c r="L331" i="9" s="1"/>
  <c r="P332" i="9"/>
  <c r="O332" i="9"/>
  <c r="P329" i="9"/>
  <c r="N329" i="9"/>
  <c r="M329" i="9"/>
  <c r="L329" i="9"/>
  <c r="O329" i="9" s="1"/>
  <c r="I327" i="9"/>
  <c r="I325" i="9"/>
  <c r="K325" i="9" s="1"/>
  <c r="N323" i="9"/>
  <c r="N321" i="9" s="1"/>
  <c r="M323" i="9"/>
  <c r="M321" i="9" s="1"/>
  <c r="P321" i="9" s="1"/>
  <c r="L323" i="9"/>
  <c r="L321" i="9" s="1"/>
  <c r="O321" i="9" s="1"/>
  <c r="P322" i="9"/>
  <c r="O322" i="9"/>
  <c r="N320" i="9"/>
  <c r="M320" i="9"/>
  <c r="P320" i="9" s="1"/>
  <c r="L320" i="9"/>
  <c r="P319" i="9"/>
  <c r="O319" i="9"/>
  <c r="N316" i="9"/>
  <c r="M316" i="9"/>
  <c r="P316" i="9" s="1"/>
  <c r="L316" i="9"/>
  <c r="O316" i="9" s="1"/>
  <c r="J314" i="9"/>
  <c r="I312" i="9"/>
  <c r="K312" i="9" s="1"/>
  <c r="I311" i="9"/>
  <c r="K311" i="9" s="1"/>
  <c r="I310" i="9"/>
  <c r="K310" i="9" s="1"/>
  <c r="I309" i="9"/>
  <c r="N306" i="9"/>
  <c r="N304" i="9" s="1"/>
  <c r="M306" i="9"/>
  <c r="M304" i="9" s="1"/>
  <c r="P304" i="9" s="1"/>
  <c r="L306" i="9"/>
  <c r="O306" i="9" s="1"/>
  <c r="P305" i="9"/>
  <c r="O305" i="9"/>
  <c r="N303" i="9"/>
  <c r="M303" i="9"/>
  <c r="L303" i="9"/>
  <c r="O303" i="9" s="1"/>
  <c r="P302" i="9"/>
  <c r="O302" i="9"/>
  <c r="P299" i="9"/>
  <c r="N299" i="9"/>
  <c r="M299" i="9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K287" i="9" s="1"/>
  <c r="N285" i="9"/>
  <c r="N283" i="9" s="1"/>
  <c r="M285" i="9"/>
  <c r="P285" i="9" s="1"/>
  <c r="L285" i="9"/>
  <c r="P284" i="9"/>
  <c r="O284" i="9"/>
  <c r="N282" i="9"/>
  <c r="N280" i="9" s="1"/>
  <c r="M282" i="9"/>
  <c r="M280" i="9" s="1"/>
  <c r="P280" i="9" s="1"/>
  <c r="L282" i="9"/>
  <c r="O282" i="9" s="1"/>
  <c r="P281" i="9"/>
  <c r="O281" i="9"/>
  <c r="O278" i="9"/>
  <c r="N278" i="9"/>
  <c r="M278" i="9"/>
  <c r="L278" i="9"/>
  <c r="J276" i="9"/>
  <c r="I271" i="9"/>
  <c r="N269" i="9"/>
  <c r="N267" i="9" s="1"/>
  <c r="M269" i="9"/>
  <c r="L269" i="9"/>
  <c r="O269" i="9" s="1"/>
  <c r="P268" i="9"/>
  <c r="O268" i="9"/>
  <c r="N266" i="9"/>
  <c r="N264" i="9" s="1"/>
  <c r="M266" i="9"/>
  <c r="L266" i="9"/>
  <c r="L264" i="9" s="1"/>
  <c r="P265" i="9"/>
  <c r="O265" i="9"/>
  <c r="P262" i="9"/>
  <c r="N262" i="9"/>
  <c r="M262" i="9"/>
  <c r="L262" i="9"/>
  <c r="J260" i="9"/>
  <c r="K258" i="9"/>
  <c r="K257" i="9"/>
  <c r="I255" i="9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N227" i="9" s="1"/>
  <c r="J237" i="9"/>
  <c r="J226" i="9" s="1"/>
  <c r="J180" i="9" s="1"/>
  <c r="K236" i="9"/>
  <c r="J236" i="9"/>
  <c r="I236" i="9"/>
  <c r="K235" i="9"/>
  <c r="J235" i="9"/>
  <c r="I235" i="9"/>
  <c r="J233" i="9"/>
  <c r="N231" i="9"/>
  <c r="N230" i="9"/>
  <c r="N229" i="9"/>
  <c r="N228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M186" i="9"/>
  <c r="L186" i="9"/>
  <c r="L184" i="9" s="1"/>
  <c r="P185" i="9"/>
  <c r="O185" i="9"/>
  <c r="P182" i="9"/>
  <c r="N182" i="9"/>
  <c r="M182" i="9"/>
  <c r="L182" i="9"/>
  <c r="O182" i="9" s="1"/>
  <c r="J177" i="9"/>
  <c r="J164" i="9" s="1"/>
  <c r="I176" i="9"/>
  <c r="K176" i="9" s="1"/>
  <c r="J174" i="9"/>
  <c r="N173" i="9"/>
  <c r="N171" i="9" s="1"/>
  <c r="M173" i="9"/>
  <c r="P173" i="9" s="1"/>
  <c r="L173" i="9"/>
  <c r="O173" i="9" s="1"/>
  <c r="P172" i="9"/>
  <c r="O172" i="9"/>
  <c r="N170" i="9"/>
  <c r="M170" i="9"/>
  <c r="L170" i="9"/>
  <c r="L168" i="9" s="1"/>
  <c r="P169" i="9"/>
  <c r="O169" i="9"/>
  <c r="P166" i="9"/>
  <c r="N166" i="9"/>
  <c r="M166" i="9"/>
  <c r="L166" i="9"/>
  <c r="O166" i="9" s="1"/>
  <c r="I159" i="9"/>
  <c r="N157" i="9"/>
  <c r="N155" i="9" s="1"/>
  <c r="M157" i="9"/>
  <c r="L157" i="9"/>
  <c r="O157" i="9" s="1"/>
  <c r="P156" i="9"/>
  <c r="O156" i="9"/>
  <c r="N154" i="9"/>
  <c r="N152" i="9" s="1"/>
  <c r="M154" i="9"/>
  <c r="L154" i="9"/>
  <c r="L152" i="9" s="1"/>
  <c r="O152" i="9" s="1"/>
  <c r="P153" i="9"/>
  <c r="O153" i="9"/>
  <c r="P150" i="9"/>
  <c r="N150" i="9"/>
  <c r="M150" i="9"/>
  <c r="L150" i="9"/>
  <c r="J148" i="9"/>
  <c r="I146" i="9"/>
  <c r="I130" i="9" s="1"/>
  <c r="K130" i="9" s="1"/>
  <c r="I145" i="9"/>
  <c r="I144" i="9"/>
  <c r="K144" i="9" s="1"/>
  <c r="N140" i="9"/>
  <c r="N138" i="9" s="1"/>
  <c r="M140" i="9"/>
  <c r="M138" i="9" s="1"/>
  <c r="L140" i="9"/>
  <c r="P139" i="9"/>
  <c r="O139" i="9"/>
  <c r="N137" i="9"/>
  <c r="M137" i="9"/>
  <c r="M135" i="9" s="1"/>
  <c r="L137" i="9"/>
  <c r="P136" i="9"/>
  <c r="O136" i="9"/>
  <c r="N133" i="9"/>
  <c r="M133" i="9"/>
  <c r="L133" i="9"/>
  <c r="J130" i="9"/>
  <c r="N127" i="9"/>
  <c r="N125" i="9" s="1"/>
  <c r="M127" i="9"/>
  <c r="M125" i="9" s="1"/>
  <c r="L127" i="9"/>
  <c r="P126" i="9"/>
  <c r="O126" i="9"/>
  <c r="N124" i="9"/>
  <c r="M124" i="9"/>
  <c r="M122" i="9" s="1"/>
  <c r="P122" i="9" s="1"/>
  <c r="L124" i="9"/>
  <c r="O124" i="9" s="1"/>
  <c r="P123" i="9"/>
  <c r="O123" i="9"/>
  <c r="P120" i="9"/>
  <c r="N120" i="9"/>
  <c r="M120" i="9"/>
  <c r="L120" i="9"/>
  <c r="K118" i="9"/>
  <c r="J118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I87" i="9" s="1"/>
  <c r="J98" i="9"/>
  <c r="I98" i="9"/>
  <c r="I86" i="9" s="1"/>
  <c r="K86" i="9" s="1"/>
  <c r="N96" i="9"/>
  <c r="N94" i="9" s="1"/>
  <c r="M96" i="9"/>
  <c r="M94" i="9" s="1"/>
  <c r="P94" i="9" s="1"/>
  <c r="L96" i="9"/>
  <c r="O96" i="9" s="1"/>
  <c r="P95" i="9"/>
  <c r="O95" i="9"/>
  <c r="N93" i="9"/>
  <c r="N91" i="9" s="1"/>
  <c r="M93" i="9"/>
  <c r="M91" i="9" s="1"/>
  <c r="L93" i="9"/>
  <c r="L91" i="9" s="1"/>
  <c r="P92" i="9"/>
  <c r="O92" i="9"/>
  <c r="P89" i="9"/>
  <c r="N89" i="9"/>
  <c r="M89" i="9"/>
  <c r="L89" i="9"/>
  <c r="J86" i="9"/>
  <c r="I84" i="9"/>
  <c r="K84" i="9" s="1"/>
  <c r="I83" i="9"/>
  <c r="K83" i="9" s="1"/>
  <c r="I82" i="9"/>
  <c r="K82" i="9" s="1"/>
  <c r="I81" i="9"/>
  <c r="K81" i="9" s="1"/>
  <c r="I80" i="9"/>
  <c r="I79" i="9"/>
  <c r="I78" i="9"/>
  <c r="K78" i="9" s="1"/>
  <c r="J77" i="9"/>
  <c r="J76" i="9"/>
  <c r="N74" i="9"/>
  <c r="N72" i="9" s="1"/>
  <c r="M74" i="9"/>
  <c r="P74" i="9" s="1"/>
  <c r="L74" i="9"/>
  <c r="L72" i="9" s="1"/>
  <c r="O72" i="9" s="1"/>
  <c r="P73" i="9"/>
  <c r="O73" i="9"/>
  <c r="N71" i="9"/>
  <c r="M71" i="9"/>
  <c r="L71" i="9"/>
  <c r="L69" i="9" s="1"/>
  <c r="P70" i="9"/>
  <c r="O70" i="9"/>
  <c r="O67" i="9"/>
  <c r="N67" i="9"/>
  <c r="M67" i="9"/>
  <c r="P67" i="9" s="1"/>
  <c r="L67" i="9"/>
  <c r="J65" i="9"/>
  <c r="J64" i="9"/>
  <c r="N61" i="9"/>
  <c r="M61" i="9"/>
  <c r="P61" i="9" s="1"/>
  <c r="L61" i="9"/>
  <c r="O61" i="9" s="1"/>
  <c r="P60" i="9"/>
  <c r="O60" i="9"/>
  <c r="N58" i="9"/>
  <c r="N56" i="9" s="1"/>
  <c r="M58" i="9"/>
  <c r="L58" i="9"/>
  <c r="L56" i="9" s="1"/>
  <c r="P57" i="9"/>
  <c r="O57" i="9"/>
  <c r="P54" i="9"/>
  <c r="N54" i="9"/>
  <c r="M54" i="9"/>
  <c r="L54" i="9"/>
  <c r="O54" i="9" s="1"/>
  <c r="N49" i="9"/>
  <c r="N47" i="9" s="1"/>
  <c r="M49" i="9"/>
  <c r="L49" i="9"/>
  <c r="O49" i="9" s="1"/>
  <c r="P48" i="9"/>
  <c r="O48" i="9"/>
  <c r="N46" i="9"/>
  <c r="M46" i="9"/>
  <c r="M44" i="9" s="1"/>
  <c r="L46" i="9"/>
  <c r="L44" i="9" s="1"/>
  <c r="P45" i="9"/>
  <c r="O45" i="9"/>
  <c r="O42" i="9"/>
  <c r="N42" i="9"/>
  <c r="M42" i="9"/>
  <c r="P42" i="9" s="1"/>
  <c r="L42" i="9"/>
  <c r="P36" i="9"/>
  <c r="N36" i="9"/>
  <c r="M36" i="9"/>
  <c r="O35" i="9"/>
  <c r="N35" i="9"/>
  <c r="M35" i="9"/>
  <c r="M34" i="9" s="1"/>
  <c r="P34" i="9" s="1"/>
  <c r="L35" i="9"/>
  <c r="N34" i="9"/>
  <c r="N33" i="9"/>
  <c r="O32" i="9"/>
  <c r="N32" i="9"/>
  <c r="N29" i="9" s="1"/>
  <c r="M32" i="9"/>
  <c r="P32" i="9" s="1"/>
  <c r="L32" i="9"/>
  <c r="N31" i="9"/>
  <c r="N30" i="9"/>
  <c r="M29" i="9"/>
  <c r="L29" i="9"/>
  <c r="O29" i="9" s="1"/>
  <c r="N28" i="9"/>
  <c r="P25" i="9"/>
  <c r="N25" i="9"/>
  <c r="N15" i="9" s="1"/>
  <c r="M25" i="9"/>
  <c r="L25" i="9"/>
  <c r="O25" i="9" s="1"/>
  <c r="O22" i="9"/>
  <c r="N22" i="9"/>
  <c r="M22" i="9"/>
  <c r="L22" i="9"/>
  <c r="L19" i="9"/>
  <c r="O19" i="9" s="1"/>
  <c r="L15" i="9"/>
  <c r="O15" i="9" s="1"/>
  <c r="N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N807" i="8" s="1"/>
  <c r="N805" i="8" s="1"/>
  <c r="P809" i="8"/>
  <c r="O809" i="8"/>
  <c r="N808" i="8"/>
  <c r="M808" i="8"/>
  <c r="P808" i="8" s="1"/>
  <c r="L808" i="8"/>
  <c r="O808" i="8" s="1"/>
  <c r="M807" i="8"/>
  <c r="P807" i="8" s="1"/>
  <c r="L807" i="8"/>
  <c r="O807" i="8" s="1"/>
  <c r="P806" i="8"/>
  <c r="N806" i="8"/>
  <c r="M806" i="8"/>
  <c r="M805" i="8" s="1"/>
  <c r="P805" i="8" s="1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P790" i="8"/>
  <c r="O790" i="8"/>
  <c r="N789" i="8"/>
  <c r="M789" i="8"/>
  <c r="P789" i="8" s="1"/>
  <c r="M788" i="8"/>
  <c r="P788" i="8" s="1"/>
  <c r="P787" i="8"/>
  <c r="N787" i="8"/>
  <c r="M787" i="8"/>
  <c r="M786" i="8" s="1"/>
  <c r="P786" i="8" s="1"/>
  <c r="L787" i="8"/>
  <c r="P782" i="8"/>
  <c r="O782" i="8"/>
  <c r="P781" i="8"/>
  <c r="O781" i="8"/>
  <c r="P780" i="8"/>
  <c r="O780" i="8"/>
  <c r="N780" i="8"/>
  <c r="M780" i="8"/>
  <c r="L780" i="8"/>
  <c r="P775" i="8"/>
  <c r="O775" i="8"/>
  <c r="N775" i="8"/>
  <c r="N773" i="8" s="1"/>
  <c r="P774" i="8"/>
  <c r="O774" i="8"/>
  <c r="O773" i="8"/>
  <c r="M773" i="8"/>
  <c r="P773" i="8" s="1"/>
  <c r="L773" i="8"/>
  <c r="N772" i="8"/>
  <c r="M772" i="8"/>
  <c r="P772" i="8" s="1"/>
  <c r="L772" i="8"/>
  <c r="O772" i="8" s="1"/>
  <c r="N771" i="8"/>
  <c r="N770" i="8" s="1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N757" i="8" s="1"/>
  <c r="P758" i="8"/>
  <c r="O758" i="8"/>
  <c r="O757" i="8"/>
  <c r="M757" i="8"/>
  <c r="P757" i="8" s="1"/>
  <c r="L757" i="8"/>
  <c r="N756" i="8"/>
  <c r="M756" i="8"/>
  <c r="P756" i="8" s="1"/>
  <c r="L756" i="8"/>
  <c r="O756" i="8" s="1"/>
  <c r="N755" i="8"/>
  <c r="M755" i="8"/>
  <c r="L755" i="8"/>
  <c r="O755" i="8" s="1"/>
  <c r="L754" i="8"/>
  <c r="O754" i="8" s="1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N740" i="8" s="1"/>
  <c r="P741" i="8"/>
  <c r="O741" i="8"/>
  <c r="O740" i="8"/>
  <c r="M740" i="8"/>
  <c r="P740" i="8" s="1"/>
  <c r="L740" i="8"/>
  <c r="N739" i="8"/>
  <c r="M739" i="8"/>
  <c r="P739" i="8" s="1"/>
  <c r="L739" i="8"/>
  <c r="O739" i="8" s="1"/>
  <c r="N738" i="8"/>
  <c r="N737" i="8" s="1"/>
  <c r="M738" i="8"/>
  <c r="L738" i="8"/>
  <c r="O738" i="8" s="1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N690" i="8"/>
  <c r="L690" i="8"/>
  <c r="N687" i="8"/>
  <c r="N686" i="8"/>
  <c r="N685" i="8" s="1"/>
  <c r="M686" i="8"/>
  <c r="L686" i="8"/>
  <c r="O686" i="8" s="1"/>
  <c r="J679" i="8"/>
  <c r="J678" i="8"/>
  <c r="I678" i="8"/>
  <c r="K678" i="8" s="1"/>
  <c r="J675" i="8"/>
  <c r="I671" i="8"/>
  <c r="K671" i="8" s="1"/>
  <c r="I670" i="8"/>
  <c r="K670" i="8" s="1"/>
  <c r="I669" i="8"/>
  <c r="I654" i="8" s="1"/>
  <c r="P667" i="8"/>
  <c r="O667" i="8"/>
  <c r="P666" i="8"/>
  <c r="O666" i="8"/>
  <c r="N665" i="8"/>
  <c r="M665" i="8"/>
  <c r="P665" i="8" s="1"/>
  <c r="L665" i="8"/>
  <c r="O665" i="8" s="1"/>
  <c r="N660" i="8"/>
  <c r="L660" i="8"/>
  <c r="L657" i="8" s="1"/>
  <c r="O657" i="8" s="1"/>
  <c r="P659" i="8"/>
  <c r="O659" i="8"/>
  <c r="N658" i="8"/>
  <c r="N657" i="8"/>
  <c r="P656" i="8"/>
  <c r="O656" i="8"/>
  <c r="N656" i="8"/>
  <c r="M656" i="8"/>
  <c r="L656" i="8"/>
  <c r="N655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N634" i="8"/>
  <c r="L634" i="8"/>
  <c r="L632" i="8" s="1"/>
  <c r="O632" i="8" s="1"/>
  <c r="P633" i="8"/>
  <c r="O633" i="8"/>
  <c r="N632" i="8"/>
  <c r="N631" i="8"/>
  <c r="N630" i="8"/>
  <c r="N629" i="8" s="1"/>
  <c r="M630" i="8"/>
  <c r="P630" i="8" s="1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I594" i="8"/>
  <c r="I593" i="8"/>
  <c r="I592" i="8" s="1"/>
  <c r="J583" i="8"/>
  <c r="J577" i="8" s="1"/>
  <c r="J582" i="8"/>
  <c r="I577" i="8"/>
  <c r="J576" i="8"/>
  <c r="J559" i="8" s="1"/>
  <c r="J543" i="8" s="1"/>
  <c r="I576" i="8"/>
  <c r="I559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P557" i="8"/>
  <c r="L557" i="8"/>
  <c r="O557" i="8" s="1"/>
  <c r="P556" i="8"/>
  <c r="O556" i="8"/>
  <c r="N555" i="8"/>
  <c r="N545" i="8" s="1"/>
  <c r="N544" i="8" s="1"/>
  <c r="M555" i="8"/>
  <c r="P555" i="8" s="1"/>
  <c r="N549" i="8"/>
  <c r="L549" i="8"/>
  <c r="O549" i="8" s="1"/>
  <c r="P548" i="8"/>
  <c r="O548" i="8"/>
  <c r="N547" i="8"/>
  <c r="N546" i="8"/>
  <c r="L545" i="8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P534" i="8"/>
  <c r="O534" i="8"/>
  <c r="N533" i="8"/>
  <c r="M533" i="8"/>
  <c r="P533" i="8" s="1"/>
  <c r="P528" i="8"/>
  <c r="N528" i="8"/>
  <c r="L528" i="8"/>
  <c r="O528" i="8" s="1"/>
  <c r="P527" i="8"/>
  <c r="O527" i="8"/>
  <c r="P526" i="8"/>
  <c r="N526" i="8"/>
  <c r="M526" i="8"/>
  <c r="P525" i="8"/>
  <c r="N525" i="8"/>
  <c r="M525" i="8"/>
  <c r="P524" i="8"/>
  <c r="O524" i="8"/>
  <c r="N524" i="8"/>
  <c r="N523" i="8" s="1"/>
  <c r="M524" i="8"/>
  <c r="L524" i="8"/>
  <c r="M523" i="8"/>
  <c r="P523" i="8" s="1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N504" i="8" s="1"/>
  <c r="P506" i="8"/>
  <c r="O506" i="8"/>
  <c r="P505" i="8"/>
  <c r="O505" i="8"/>
  <c r="N505" i="8"/>
  <c r="M505" i="8"/>
  <c r="L505" i="8"/>
  <c r="O504" i="8"/>
  <c r="M504" i="8"/>
  <c r="P504" i="8" s="1"/>
  <c r="L504" i="8"/>
  <c r="N503" i="8"/>
  <c r="N502" i="8" s="1"/>
  <c r="M503" i="8"/>
  <c r="P503" i="8" s="1"/>
  <c r="L503" i="8"/>
  <c r="L502" i="8" s="1"/>
  <c r="O502" i="8" s="1"/>
  <c r="M502" i="8"/>
  <c r="P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P477" i="8"/>
  <c r="N477" i="8"/>
  <c r="M477" i="8"/>
  <c r="N472" i="8"/>
  <c r="L472" i="8"/>
  <c r="L470" i="8" s="1"/>
  <c r="P471" i="8"/>
  <c r="O471" i="8"/>
  <c r="N469" i="8"/>
  <c r="O468" i="8"/>
  <c r="N468" i="8"/>
  <c r="M468" i="8"/>
  <c r="L468" i="8"/>
  <c r="J466" i="8"/>
  <c r="I466" i="8"/>
  <c r="K466" i="8" s="1"/>
  <c r="J465" i="8"/>
  <c r="I465" i="8"/>
  <c r="K465" i="8" s="1"/>
  <c r="I464" i="8"/>
  <c r="K464" i="8" s="1"/>
  <c r="I463" i="8"/>
  <c r="K463" i="8" s="1"/>
  <c r="I462" i="8"/>
  <c r="K462" i="8" s="1"/>
  <c r="I460" i="8"/>
  <c r="K460" i="8" s="1"/>
  <c r="K458" i="8"/>
  <c r="P456" i="8"/>
  <c r="L456" i="8"/>
  <c r="O456" i="8" s="1"/>
  <c r="P455" i="8"/>
  <c r="O455" i="8"/>
  <c r="N454" i="8"/>
  <c r="M454" i="8"/>
  <c r="P454" i="8" s="1"/>
  <c r="N449" i="8"/>
  <c r="L449" i="8"/>
  <c r="L447" i="8" s="1"/>
  <c r="P448" i="8"/>
  <c r="O448" i="8"/>
  <c r="N445" i="8"/>
  <c r="M445" i="8"/>
  <c r="L445" i="8"/>
  <c r="O445" i="8" s="1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I433" i="8" s="1"/>
  <c r="J434" i="8"/>
  <c r="P431" i="8"/>
  <c r="L431" i="8"/>
  <c r="L429" i="8" s="1"/>
  <c r="O429" i="8" s="1"/>
  <c r="P430" i="8"/>
  <c r="O430" i="8"/>
  <c r="P429" i="8"/>
  <c r="N429" i="8"/>
  <c r="M429" i="8"/>
  <c r="N424" i="8"/>
  <c r="L424" i="8"/>
  <c r="L422" i="8" s="1"/>
  <c r="O422" i="8" s="1"/>
  <c r="P423" i="8"/>
  <c r="O423" i="8"/>
  <c r="N422" i="8"/>
  <c r="N421" i="8"/>
  <c r="N420" i="8"/>
  <c r="N419" i="8" s="1"/>
  <c r="M420" i="8"/>
  <c r="P420" i="8" s="1"/>
  <c r="L420" i="8"/>
  <c r="J418" i="8"/>
  <c r="K413" i="8"/>
  <c r="K412" i="8"/>
  <c r="N410" i="8"/>
  <c r="N408" i="8" s="1"/>
  <c r="M410" i="8"/>
  <c r="M408" i="8" s="1"/>
  <c r="P408" i="8" s="1"/>
  <c r="L410" i="8"/>
  <c r="O410" i="8" s="1"/>
  <c r="P409" i="8"/>
  <c r="O409" i="8"/>
  <c r="N407" i="8"/>
  <c r="N405" i="8" s="1"/>
  <c r="M407" i="8"/>
  <c r="L407" i="8"/>
  <c r="O407" i="8" s="1"/>
  <c r="P406" i="8"/>
  <c r="O406" i="8"/>
  <c r="P403" i="8"/>
  <c r="N403" i="8"/>
  <c r="M403" i="8"/>
  <c r="L403" i="8"/>
  <c r="K401" i="8"/>
  <c r="J401" i="8"/>
  <c r="I401" i="8"/>
  <c r="K400" i="8"/>
  <c r="K399" i="8"/>
  <c r="N397" i="8"/>
  <c r="N395" i="8" s="1"/>
  <c r="M397" i="8"/>
  <c r="L397" i="8"/>
  <c r="L395" i="8" s="1"/>
  <c r="O395" i="8" s="1"/>
  <c r="P396" i="8"/>
  <c r="O396" i="8"/>
  <c r="N394" i="8"/>
  <c r="N392" i="8" s="1"/>
  <c r="M394" i="8"/>
  <c r="P394" i="8" s="1"/>
  <c r="L394" i="8"/>
  <c r="L392" i="8" s="1"/>
  <c r="O392" i="8" s="1"/>
  <c r="P393" i="8"/>
  <c r="O393" i="8"/>
  <c r="N390" i="8"/>
  <c r="M390" i="8"/>
  <c r="P390" i="8" s="1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L351" i="8" s="1"/>
  <c r="P352" i="8"/>
  <c r="O352" i="8"/>
  <c r="N350" i="8"/>
  <c r="M350" i="8"/>
  <c r="L350" i="8"/>
  <c r="P349" i="8"/>
  <c r="O349" i="8"/>
  <c r="N346" i="8"/>
  <c r="M346" i="8"/>
  <c r="P346" i="8" s="1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O336" i="8" s="1"/>
  <c r="P335" i="8"/>
  <c r="O335" i="8"/>
  <c r="N333" i="8"/>
  <c r="N331" i="8" s="1"/>
  <c r="M333" i="8"/>
  <c r="L333" i="8"/>
  <c r="L331" i="8" s="1"/>
  <c r="P332" i="8"/>
  <c r="O332" i="8"/>
  <c r="O329" i="8"/>
  <c r="N329" i="8"/>
  <c r="M329" i="8"/>
  <c r="P329" i="8" s="1"/>
  <c r="L329" i="8"/>
  <c r="I327" i="8"/>
  <c r="I325" i="8"/>
  <c r="K325" i="8" s="1"/>
  <c r="N323" i="8"/>
  <c r="N321" i="8" s="1"/>
  <c r="M323" i="8"/>
  <c r="L323" i="8"/>
  <c r="O323" i="8" s="1"/>
  <c r="P322" i="8"/>
  <c r="O322" i="8"/>
  <c r="N320" i="8"/>
  <c r="M320" i="8"/>
  <c r="L320" i="8"/>
  <c r="O320" i="8" s="1"/>
  <c r="P319" i="8"/>
  <c r="O319" i="8"/>
  <c r="P316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K309" i="8" s="1"/>
  <c r="N306" i="8"/>
  <c r="M306" i="8"/>
  <c r="P306" i="8" s="1"/>
  <c r="L306" i="8"/>
  <c r="L304" i="8" s="1"/>
  <c r="O304" i="8" s="1"/>
  <c r="P305" i="8"/>
  <c r="O305" i="8"/>
  <c r="N303" i="8"/>
  <c r="M303" i="8"/>
  <c r="L303" i="8"/>
  <c r="L301" i="8" s="1"/>
  <c r="P302" i="8"/>
  <c r="O302" i="8"/>
  <c r="O299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M283" i="8" s="1"/>
  <c r="P283" i="8" s="1"/>
  <c r="L285" i="8"/>
  <c r="P284" i="8"/>
  <c r="O284" i="8"/>
  <c r="N282" i="8"/>
  <c r="M282" i="8"/>
  <c r="M280" i="8" s="1"/>
  <c r="L282" i="8"/>
  <c r="P281" i="8"/>
  <c r="O281" i="8"/>
  <c r="O278" i="8"/>
  <c r="N278" i="8"/>
  <c r="M278" i="8"/>
  <c r="P278" i="8" s="1"/>
  <c r="L278" i="8"/>
  <c r="J276" i="8"/>
  <c r="I271" i="8"/>
  <c r="K271" i="8" s="1"/>
  <c r="N269" i="8"/>
  <c r="N267" i="8" s="1"/>
  <c r="M269" i="8"/>
  <c r="P269" i="8" s="1"/>
  <c r="L269" i="8"/>
  <c r="L267" i="8" s="1"/>
  <c r="O267" i="8" s="1"/>
  <c r="P268" i="8"/>
  <c r="O268" i="8"/>
  <c r="N266" i="8"/>
  <c r="N264" i="8" s="1"/>
  <c r="M266" i="8"/>
  <c r="M264" i="8" s="1"/>
  <c r="L266" i="8"/>
  <c r="P265" i="8"/>
  <c r="O265" i="8"/>
  <c r="N262" i="8"/>
  <c r="M262" i="8"/>
  <c r="P262" i="8" s="1"/>
  <c r="L262" i="8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N227" i="8" s="1"/>
  <c r="J237" i="8"/>
  <c r="J226" i="8" s="1"/>
  <c r="J180" i="8" s="1"/>
  <c r="K236" i="8"/>
  <c r="J236" i="8"/>
  <c r="I236" i="8"/>
  <c r="K235" i="8"/>
  <c r="J235" i="8"/>
  <c r="I235" i="8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M187" i="8" s="1"/>
  <c r="P187" i="8" s="1"/>
  <c r="L189" i="8"/>
  <c r="O189" i="8" s="1"/>
  <c r="P188" i="8"/>
  <c r="O188" i="8"/>
  <c r="N186" i="8"/>
  <c r="M186" i="8"/>
  <c r="M184" i="8" s="1"/>
  <c r="L186" i="8"/>
  <c r="L184" i="8" s="1"/>
  <c r="P185" i="8"/>
  <c r="O185" i="8"/>
  <c r="O182" i="8"/>
  <c r="N182" i="8"/>
  <c r="M182" i="8"/>
  <c r="L182" i="8"/>
  <c r="J177" i="8"/>
  <c r="J164" i="8" s="1"/>
  <c r="I176" i="8"/>
  <c r="K176" i="8" s="1"/>
  <c r="J174" i="8"/>
  <c r="N173" i="8"/>
  <c r="M173" i="8"/>
  <c r="M171" i="8" s="1"/>
  <c r="P171" i="8" s="1"/>
  <c r="L173" i="8"/>
  <c r="O173" i="8" s="1"/>
  <c r="P172" i="8"/>
  <c r="O172" i="8"/>
  <c r="N170" i="8"/>
  <c r="N168" i="8" s="1"/>
  <c r="M170" i="8"/>
  <c r="L170" i="8"/>
  <c r="P169" i="8"/>
  <c r="O169" i="8"/>
  <c r="P166" i="8"/>
  <c r="N166" i="8"/>
  <c r="M166" i="8"/>
  <c r="L166" i="8"/>
  <c r="O166" i="8" s="1"/>
  <c r="I159" i="8"/>
  <c r="K159" i="8" s="1"/>
  <c r="N157" i="8"/>
  <c r="M157" i="8"/>
  <c r="P157" i="8" s="1"/>
  <c r="L157" i="8"/>
  <c r="L155" i="8" s="1"/>
  <c r="O155" i="8" s="1"/>
  <c r="P156" i="8"/>
  <c r="O156" i="8"/>
  <c r="N154" i="8"/>
  <c r="M154" i="8"/>
  <c r="L154" i="8"/>
  <c r="L152" i="8" s="1"/>
  <c r="P153" i="8"/>
  <c r="O153" i="8"/>
  <c r="O150" i="8"/>
  <c r="N150" i="8"/>
  <c r="M150" i="8"/>
  <c r="P150" i="8" s="1"/>
  <c r="L150" i="8"/>
  <c r="J148" i="8"/>
  <c r="I146" i="8"/>
  <c r="I130" i="8" s="1"/>
  <c r="K130" i="8" s="1"/>
  <c r="I145" i="8"/>
  <c r="I143" i="8" s="1"/>
  <c r="K143" i="8" s="1"/>
  <c r="I144" i="8"/>
  <c r="K144" i="8" s="1"/>
  <c r="N140" i="8"/>
  <c r="N138" i="8" s="1"/>
  <c r="M140" i="8"/>
  <c r="P140" i="8" s="1"/>
  <c r="L140" i="8"/>
  <c r="O140" i="8" s="1"/>
  <c r="P139" i="8"/>
  <c r="O139" i="8"/>
  <c r="N137" i="8"/>
  <c r="M137" i="8"/>
  <c r="P137" i="8" s="1"/>
  <c r="L137" i="8"/>
  <c r="O137" i="8" s="1"/>
  <c r="P136" i="8"/>
  <c r="O136" i="8"/>
  <c r="P133" i="8"/>
  <c r="O133" i="8"/>
  <c r="N133" i="8"/>
  <c r="M133" i="8"/>
  <c r="L133" i="8"/>
  <c r="J130" i="8"/>
  <c r="N127" i="8"/>
  <c r="M127" i="8"/>
  <c r="P127" i="8" s="1"/>
  <c r="L127" i="8"/>
  <c r="P126" i="8"/>
  <c r="O126" i="8"/>
  <c r="N124" i="8"/>
  <c r="N122" i="8" s="1"/>
  <c r="M124" i="8"/>
  <c r="L124" i="8"/>
  <c r="L122" i="8" s="1"/>
  <c r="O122" i="8" s="1"/>
  <c r="P123" i="8"/>
  <c r="O123" i="8"/>
  <c r="N120" i="8"/>
  <c r="M120" i="8"/>
  <c r="P120" i="8" s="1"/>
  <c r="L120" i="8"/>
  <c r="O120" i="8" s="1"/>
  <c r="I116" i="8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J86" i="8" s="1"/>
  <c r="I98" i="8"/>
  <c r="I86" i="8" s="1"/>
  <c r="K86" i="8" s="1"/>
  <c r="N96" i="8"/>
  <c r="N94" i="8" s="1"/>
  <c r="M96" i="8"/>
  <c r="P96" i="8" s="1"/>
  <c r="L96" i="8"/>
  <c r="O96" i="8" s="1"/>
  <c r="P95" i="8"/>
  <c r="O95" i="8"/>
  <c r="N93" i="8"/>
  <c r="N91" i="8" s="1"/>
  <c r="M93" i="8"/>
  <c r="L93" i="8"/>
  <c r="P92" i="8"/>
  <c r="O92" i="8"/>
  <c r="N89" i="8"/>
  <c r="M89" i="8"/>
  <c r="L89" i="8"/>
  <c r="O89" i="8" s="1"/>
  <c r="J87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K78" i="8" s="1"/>
  <c r="J77" i="8"/>
  <c r="J76" i="8"/>
  <c r="N74" i="8"/>
  <c r="N72" i="8" s="1"/>
  <c r="M74" i="8"/>
  <c r="M72" i="8" s="1"/>
  <c r="P72" i="8" s="1"/>
  <c r="L74" i="8"/>
  <c r="O74" i="8" s="1"/>
  <c r="P73" i="8"/>
  <c r="O73" i="8"/>
  <c r="N71" i="8"/>
  <c r="M71" i="8"/>
  <c r="L71" i="8"/>
  <c r="P70" i="8"/>
  <c r="O70" i="8"/>
  <c r="P67" i="8"/>
  <c r="N67" i="8"/>
  <c r="M67" i="8"/>
  <c r="L67" i="8"/>
  <c r="J65" i="8"/>
  <c r="J64" i="8"/>
  <c r="N61" i="8"/>
  <c r="N59" i="8" s="1"/>
  <c r="M61" i="8"/>
  <c r="P61" i="8" s="1"/>
  <c r="L61" i="8"/>
  <c r="L59" i="8" s="1"/>
  <c r="O59" i="8" s="1"/>
  <c r="P60" i="8"/>
  <c r="O60" i="8"/>
  <c r="N58" i="8"/>
  <c r="M58" i="8"/>
  <c r="L58" i="8"/>
  <c r="L56" i="8" s="1"/>
  <c r="P57" i="8"/>
  <c r="O57" i="8"/>
  <c r="N54" i="8"/>
  <c r="M54" i="8"/>
  <c r="P54" i="8" s="1"/>
  <c r="L54" i="8"/>
  <c r="O54" i="8" s="1"/>
  <c r="N49" i="8"/>
  <c r="N47" i="8" s="1"/>
  <c r="M49" i="8"/>
  <c r="M47" i="8" s="1"/>
  <c r="P47" i="8" s="1"/>
  <c r="L49" i="8"/>
  <c r="O49" i="8" s="1"/>
  <c r="P48" i="8"/>
  <c r="O48" i="8"/>
  <c r="N46" i="8"/>
  <c r="N44" i="8" s="1"/>
  <c r="M46" i="8"/>
  <c r="L46" i="8"/>
  <c r="P45" i="8"/>
  <c r="O45" i="8"/>
  <c r="P42" i="8"/>
  <c r="O42" i="8"/>
  <c r="N42" i="8"/>
  <c r="M42" i="8"/>
  <c r="L42" i="8"/>
  <c r="N36" i="8"/>
  <c r="M36" i="8"/>
  <c r="P36" i="8" s="1"/>
  <c r="N35" i="8"/>
  <c r="N34" i="8" s="1"/>
  <c r="M35" i="8"/>
  <c r="M29" i="8" s="1"/>
  <c r="L35" i="8"/>
  <c r="O35" i="8" s="1"/>
  <c r="N33" i="8"/>
  <c r="P32" i="8"/>
  <c r="O32" i="8"/>
  <c r="N32" i="8"/>
  <c r="N29" i="8" s="1"/>
  <c r="N28" i="8" s="1"/>
  <c r="M32" i="8"/>
  <c r="L32" i="8"/>
  <c r="N30" i="8"/>
  <c r="L29" i="8"/>
  <c r="O29" i="8" s="1"/>
  <c r="P25" i="8"/>
  <c r="O25" i="8"/>
  <c r="N25" i="8"/>
  <c r="M25" i="8"/>
  <c r="L25" i="8"/>
  <c r="P22" i="8"/>
  <c r="N22" i="8"/>
  <c r="N19" i="8" s="1"/>
  <c r="M22" i="8"/>
  <c r="L22" i="8"/>
  <c r="M19" i="8"/>
  <c r="P19" i="8" s="1"/>
  <c r="L15" i="8"/>
  <c r="O15" i="8" s="1"/>
  <c r="M12" i="8"/>
  <c r="P12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P809" i="7"/>
  <c r="O809" i="7"/>
  <c r="O808" i="7"/>
  <c r="N808" i="7"/>
  <c r="M808" i="7"/>
  <c r="P808" i="7" s="1"/>
  <c r="L808" i="7"/>
  <c r="N807" i="7"/>
  <c r="N805" i="7" s="1"/>
  <c r="M807" i="7"/>
  <c r="P807" i="7" s="1"/>
  <c r="L807" i="7"/>
  <c r="O807" i="7" s="1"/>
  <c r="N806" i="7"/>
  <c r="M806" i="7"/>
  <c r="L806" i="7"/>
  <c r="O806" i="7" s="1"/>
  <c r="L805" i="7"/>
  <c r="O805" i="7" s="1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N796" i="7"/>
  <c r="M796" i="7"/>
  <c r="P796" i="7" s="1"/>
  <c r="L796" i="7"/>
  <c r="O796" i="7" s="1"/>
  <c r="N795" i="7"/>
  <c r="N791" i="7" s="1"/>
  <c r="N788" i="7" s="1"/>
  <c r="N786" i="7" s="1"/>
  <c r="L791" i="7"/>
  <c r="L788" i="7" s="1"/>
  <c r="P790" i="7"/>
  <c r="O790" i="7"/>
  <c r="P787" i="7"/>
  <c r="N787" i="7"/>
  <c r="M787" i="7"/>
  <c r="L787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O773" i="7"/>
  <c r="N773" i="7"/>
  <c r="M773" i="7"/>
  <c r="P773" i="7" s="1"/>
  <c r="L773" i="7"/>
  <c r="N772" i="7"/>
  <c r="N770" i="7" s="1"/>
  <c r="M772" i="7"/>
  <c r="P772" i="7" s="1"/>
  <c r="L772" i="7"/>
  <c r="O772" i="7" s="1"/>
  <c r="N771" i="7"/>
  <c r="M771" i="7"/>
  <c r="L771" i="7"/>
  <c r="O771" i="7" s="1"/>
  <c r="L770" i="7"/>
  <c r="O770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O757" i="7"/>
  <c r="N757" i="7"/>
  <c r="M757" i="7"/>
  <c r="P757" i="7" s="1"/>
  <c r="L757" i="7"/>
  <c r="N756" i="7"/>
  <c r="N754" i="7" s="1"/>
  <c r="M756" i="7"/>
  <c r="P756" i="7" s="1"/>
  <c r="L756" i="7"/>
  <c r="O756" i="7" s="1"/>
  <c r="N755" i="7"/>
  <c r="M755" i="7"/>
  <c r="L755" i="7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O740" i="7"/>
  <c r="N740" i="7"/>
  <c r="M740" i="7"/>
  <c r="P740" i="7" s="1"/>
  <c r="L740" i="7"/>
  <c r="N739" i="7"/>
  <c r="N737" i="7" s="1"/>
  <c r="M739" i="7"/>
  <c r="P739" i="7" s="1"/>
  <c r="L739" i="7"/>
  <c r="O739" i="7" s="1"/>
  <c r="N738" i="7"/>
  <c r="M738" i="7"/>
  <c r="L738" i="7"/>
  <c r="O738" i="7" s="1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N687" i="7" s="1"/>
  <c r="N685" i="7" s="1"/>
  <c r="L690" i="7"/>
  <c r="L688" i="7" s="1"/>
  <c r="O688" i="7" s="1"/>
  <c r="N688" i="7"/>
  <c r="M688" i="7"/>
  <c r="P688" i="7" s="1"/>
  <c r="M687" i="7"/>
  <c r="P686" i="7"/>
  <c r="N686" i="7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I669" i="7"/>
  <c r="K673" i="7" s="1"/>
  <c r="P667" i="7"/>
  <c r="O667" i="7"/>
  <c r="P666" i="7"/>
  <c r="O666" i="7"/>
  <c r="P665" i="7"/>
  <c r="N665" i="7"/>
  <c r="M665" i="7"/>
  <c r="L665" i="7"/>
  <c r="O665" i="7" s="1"/>
  <c r="P660" i="7"/>
  <c r="N660" i="7"/>
  <c r="N657" i="7" s="1"/>
  <c r="L660" i="7"/>
  <c r="L658" i="7" s="1"/>
  <c r="O658" i="7" s="1"/>
  <c r="P659" i="7"/>
  <c r="O659" i="7"/>
  <c r="P658" i="7"/>
  <c r="N658" i="7"/>
  <c r="M658" i="7"/>
  <c r="P657" i="7"/>
  <c r="M657" i="7"/>
  <c r="O656" i="7"/>
  <c r="N656" i="7"/>
  <c r="M656" i="7"/>
  <c r="P656" i="7" s="1"/>
  <c r="L656" i="7"/>
  <c r="M655" i="7"/>
  <c r="P655" i="7" s="1"/>
  <c r="J654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N638" i="7"/>
  <c r="N634" i="7" s="1"/>
  <c r="N637" i="7"/>
  <c r="N636" i="7"/>
  <c r="L634" i="7"/>
  <c r="L632" i="7" s="1"/>
  <c r="P633" i="7"/>
  <c r="O633" i="7"/>
  <c r="O630" i="7"/>
  <c r="N630" i="7"/>
  <c r="M630" i="7"/>
  <c r="P630" i="7" s="1"/>
  <c r="L630" i="7"/>
  <c r="J621" i="7"/>
  <c r="I621" i="7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I594" i="7"/>
  <c r="I593" i="7"/>
  <c r="I592" i="7" s="1"/>
  <c r="J583" i="7"/>
  <c r="J577" i="7" s="1"/>
  <c r="J582" i="7"/>
  <c r="I577" i="7"/>
  <c r="J576" i="7"/>
  <c r="I576" i="7"/>
  <c r="I559" i="7" s="1"/>
  <c r="I543" i="7" s="1"/>
  <c r="J569" i="7"/>
  <c r="I569" i="7"/>
  <c r="K569" i="7" s="1"/>
  <c r="J568" i="7"/>
  <c r="I568" i="7"/>
  <c r="J561" i="7"/>
  <c r="I561" i="7"/>
  <c r="K561" i="7" s="1"/>
  <c r="J560" i="7"/>
  <c r="I560" i="7"/>
  <c r="P557" i="7"/>
  <c r="L557" i="7"/>
  <c r="P556" i="7"/>
  <c r="O556" i="7"/>
  <c r="N555" i="7"/>
  <c r="N545" i="7" s="1"/>
  <c r="M555" i="7"/>
  <c r="P555" i="7" s="1"/>
  <c r="N553" i="7"/>
  <c r="N552" i="7"/>
  <c r="N551" i="7"/>
  <c r="N549" i="7" s="1"/>
  <c r="L549" i="7"/>
  <c r="M549" i="7" s="1"/>
  <c r="P548" i="7"/>
  <c r="O548" i="7"/>
  <c r="P545" i="7"/>
  <c r="O545" i="7"/>
  <c r="M545" i="7"/>
  <c r="L545" i="7"/>
  <c r="I542" i="7"/>
  <c r="K542" i="7" s="1"/>
  <c r="I541" i="7"/>
  <c r="K541" i="7" s="1"/>
  <c r="I540" i="7"/>
  <c r="I539" i="7"/>
  <c r="K539" i="7" s="1"/>
  <c r="I538" i="7"/>
  <c r="K538" i="7" s="1"/>
  <c r="I537" i="7"/>
  <c r="P535" i="7"/>
  <c r="L535" i="7"/>
  <c r="L533" i="7" s="1"/>
  <c r="O533" i="7" s="1"/>
  <c r="P534" i="7"/>
  <c r="O534" i="7"/>
  <c r="P533" i="7"/>
  <c r="N533" i="7"/>
  <c r="M533" i="7"/>
  <c r="P528" i="7"/>
  <c r="N528" i="7"/>
  <c r="L528" i="7"/>
  <c r="P527" i="7"/>
  <c r="O527" i="7"/>
  <c r="P526" i="7"/>
  <c r="N526" i="7"/>
  <c r="M526" i="7"/>
  <c r="N525" i="7"/>
  <c r="M525" i="7"/>
  <c r="P525" i="7" s="1"/>
  <c r="N524" i="7"/>
  <c r="M524" i="7"/>
  <c r="L524" i="7"/>
  <c r="O524" i="7" s="1"/>
  <c r="K517" i="7"/>
  <c r="J517" i="7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M505" i="7"/>
  <c r="P505" i="7" s="1"/>
  <c r="L505" i="7"/>
  <c r="O505" i="7" s="1"/>
  <c r="M504" i="7"/>
  <c r="P504" i="7" s="1"/>
  <c r="L504" i="7"/>
  <c r="O504" i="7" s="1"/>
  <c r="N503" i="7"/>
  <c r="M503" i="7"/>
  <c r="P503" i="7" s="1"/>
  <c r="L503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5" i="7"/>
  <c r="N472" i="7"/>
  <c r="N33" i="7" s="1"/>
  <c r="L472" i="7"/>
  <c r="P471" i="7"/>
  <c r="O471" i="7"/>
  <c r="N469" i="7"/>
  <c r="O468" i="7"/>
  <c r="N468" i="7"/>
  <c r="M468" i="7"/>
  <c r="P468" i="7" s="1"/>
  <c r="L468" i="7"/>
  <c r="J466" i="7"/>
  <c r="I466" i="7"/>
  <c r="K466" i="7" s="1"/>
  <c r="J465" i="7"/>
  <c r="I465" i="7"/>
  <c r="K465" i="7" s="1"/>
  <c r="I464" i="7"/>
  <c r="K464" i="7" s="1"/>
  <c r="I463" i="7"/>
  <c r="K463" i="7" s="1"/>
  <c r="I462" i="7"/>
  <c r="I443" i="7" s="1"/>
  <c r="K443" i="7" s="1"/>
  <c r="I460" i="7"/>
  <c r="K460" i="7" s="1"/>
  <c r="K458" i="7"/>
  <c r="P456" i="7"/>
  <c r="L456" i="7"/>
  <c r="O456" i="7" s="1"/>
  <c r="P455" i="7"/>
  <c r="O455" i="7"/>
  <c r="N454" i="7"/>
  <c r="M454" i="7"/>
  <c r="P454" i="7" s="1"/>
  <c r="N452" i="7"/>
  <c r="N449" i="7"/>
  <c r="L449" i="7"/>
  <c r="O449" i="7" s="1"/>
  <c r="P448" i="7"/>
  <c r="O448" i="7"/>
  <c r="N447" i="7"/>
  <c r="N446" i="7"/>
  <c r="N444" i="7" s="1"/>
  <c r="N445" i="7"/>
  <c r="M445" i="7"/>
  <c r="L445" i="7"/>
  <c r="O445" i="7" s="1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I433" i="7" s="1"/>
  <c r="I417" i="7" s="1"/>
  <c r="J434" i="7"/>
  <c r="P431" i="7"/>
  <c r="L431" i="7"/>
  <c r="O431" i="7" s="1"/>
  <c r="P430" i="7"/>
  <c r="O430" i="7"/>
  <c r="P429" i="7"/>
  <c r="N429" i="7"/>
  <c r="M429" i="7"/>
  <c r="N424" i="7"/>
  <c r="N422" i="7" s="1"/>
  <c r="L424" i="7"/>
  <c r="M424" i="7" s="1"/>
  <c r="P423" i="7"/>
  <c r="O423" i="7"/>
  <c r="N420" i="7"/>
  <c r="M420" i="7"/>
  <c r="L420" i="7"/>
  <c r="O420" i="7" s="1"/>
  <c r="J418" i="7"/>
  <c r="K413" i="7"/>
  <c r="K412" i="7"/>
  <c r="N410" i="7"/>
  <c r="N408" i="7" s="1"/>
  <c r="M410" i="7"/>
  <c r="L410" i="7"/>
  <c r="P409" i="7"/>
  <c r="O409" i="7"/>
  <c r="N407" i="7"/>
  <c r="N405" i="7" s="1"/>
  <c r="M407" i="7"/>
  <c r="L407" i="7"/>
  <c r="P406" i="7"/>
  <c r="O406" i="7"/>
  <c r="P403" i="7"/>
  <c r="N403" i="7"/>
  <c r="M403" i="7"/>
  <c r="L403" i="7"/>
  <c r="K401" i="7"/>
  <c r="J401" i="7"/>
  <c r="I401" i="7"/>
  <c r="K400" i="7"/>
  <c r="K399" i="7"/>
  <c r="N397" i="7"/>
  <c r="N395" i="7" s="1"/>
  <c r="M397" i="7"/>
  <c r="M395" i="7" s="1"/>
  <c r="P395" i="7" s="1"/>
  <c r="L397" i="7"/>
  <c r="L395" i="7" s="1"/>
  <c r="O395" i="7" s="1"/>
  <c r="P396" i="7"/>
  <c r="O396" i="7"/>
  <c r="N394" i="7"/>
  <c r="M394" i="7"/>
  <c r="P394" i="7" s="1"/>
  <c r="L394" i="7"/>
  <c r="L392" i="7" s="1"/>
  <c r="O392" i="7" s="1"/>
  <c r="P393" i="7"/>
  <c r="O393" i="7"/>
  <c r="N390" i="7"/>
  <c r="M390" i="7"/>
  <c r="P390" i="7" s="1"/>
  <c r="L390" i="7"/>
  <c r="O390" i="7" s="1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P352" i="7"/>
  <c r="O352" i="7"/>
  <c r="N350" i="7"/>
  <c r="N348" i="7" s="1"/>
  <c r="M350" i="7"/>
  <c r="L350" i="7"/>
  <c r="L348" i="7" s="1"/>
  <c r="P349" i="7"/>
  <c r="O349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L336" i="7"/>
  <c r="O336" i="7" s="1"/>
  <c r="P335" i="7"/>
  <c r="O335" i="7"/>
  <c r="N333" i="7"/>
  <c r="N331" i="7" s="1"/>
  <c r="M333" i="7"/>
  <c r="L333" i="7"/>
  <c r="P332" i="7"/>
  <c r="O332" i="7"/>
  <c r="P329" i="7"/>
  <c r="N329" i="7"/>
  <c r="M329" i="7"/>
  <c r="L329" i="7"/>
  <c r="I327" i="7"/>
  <c r="I325" i="7"/>
  <c r="I314" i="7" s="1"/>
  <c r="K314" i="7" s="1"/>
  <c r="N323" i="7"/>
  <c r="N321" i="7" s="1"/>
  <c r="M323" i="7"/>
  <c r="L323" i="7"/>
  <c r="P322" i="7"/>
  <c r="O322" i="7"/>
  <c r="N320" i="7"/>
  <c r="M320" i="7"/>
  <c r="P320" i="7" s="1"/>
  <c r="L320" i="7"/>
  <c r="L318" i="7" s="1"/>
  <c r="O318" i="7" s="1"/>
  <c r="P319" i="7"/>
  <c r="O319" i="7"/>
  <c r="N316" i="7"/>
  <c r="M316" i="7"/>
  <c r="P316" i="7" s="1"/>
  <c r="L316" i="7"/>
  <c r="O316" i="7" s="1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O306" i="7" s="1"/>
  <c r="P305" i="7"/>
  <c r="O305" i="7"/>
  <c r="N303" i="7"/>
  <c r="M303" i="7"/>
  <c r="P303" i="7" s="1"/>
  <c r="L303" i="7"/>
  <c r="L301" i="7" s="1"/>
  <c r="O301" i="7" s="1"/>
  <c r="P302" i="7"/>
  <c r="O302" i="7"/>
  <c r="P299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I276" i="7" s="1"/>
  <c r="K276" i="7" s="1"/>
  <c r="N285" i="7"/>
  <c r="N283" i="7" s="1"/>
  <c r="M285" i="7"/>
  <c r="P285" i="7" s="1"/>
  <c r="L285" i="7"/>
  <c r="O285" i="7" s="1"/>
  <c r="P284" i="7"/>
  <c r="O284" i="7"/>
  <c r="N282" i="7"/>
  <c r="M282" i="7"/>
  <c r="M280" i="7" s="1"/>
  <c r="L282" i="7"/>
  <c r="L280" i="7" s="1"/>
  <c r="P281" i="7"/>
  <c r="O281" i="7"/>
  <c r="P278" i="7"/>
  <c r="O278" i="7"/>
  <c r="N278" i="7"/>
  <c r="M278" i="7"/>
  <c r="L278" i="7"/>
  <c r="J276" i="7"/>
  <c r="I271" i="7"/>
  <c r="K271" i="7" s="1"/>
  <c r="N269" i="7"/>
  <c r="M269" i="7"/>
  <c r="P269" i="7" s="1"/>
  <c r="L269" i="7"/>
  <c r="O269" i="7" s="1"/>
  <c r="P268" i="7"/>
  <c r="O268" i="7"/>
  <c r="N266" i="7"/>
  <c r="M266" i="7"/>
  <c r="L266" i="7"/>
  <c r="P265" i="7"/>
  <c r="O265" i="7"/>
  <c r="P262" i="7"/>
  <c r="O262" i="7"/>
  <c r="N262" i="7"/>
  <c r="M262" i="7"/>
  <c r="L262" i="7"/>
  <c r="J260" i="7"/>
  <c r="K258" i="7"/>
  <c r="K257" i="7"/>
  <c r="I255" i="7"/>
  <c r="I248" i="7" s="1"/>
  <c r="K248" i="7" s="1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J237" i="7"/>
  <c r="K236" i="7"/>
  <c r="J236" i="7"/>
  <c r="I236" i="7"/>
  <c r="J235" i="7"/>
  <c r="I235" i="7"/>
  <c r="K235" i="7" s="1"/>
  <c r="J233" i="7"/>
  <c r="N231" i="7"/>
  <c r="N230" i="7"/>
  <c r="N229" i="7"/>
  <c r="N228" i="7"/>
  <c r="N227" i="7"/>
  <c r="J226" i="7"/>
  <c r="I225" i="7"/>
  <c r="I224" i="7"/>
  <c r="I216" i="7" s="1"/>
  <c r="K216" i="7" s="1"/>
  <c r="I223" i="7"/>
  <c r="K223" i="7" s="1"/>
  <c r="L220" i="7"/>
  <c r="L219" i="7"/>
  <c r="L218" i="7"/>
  <c r="P217" i="7"/>
  <c r="N217" i="7"/>
  <c r="J216" i="7"/>
  <c r="I215" i="7"/>
  <c r="I208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L189" i="7"/>
  <c r="L187" i="7" s="1"/>
  <c r="O187" i="7" s="1"/>
  <c r="P188" i="7"/>
  <c r="O188" i="7"/>
  <c r="N186" i="7"/>
  <c r="N184" i="7" s="1"/>
  <c r="M186" i="7"/>
  <c r="L186" i="7"/>
  <c r="L184" i="7" s="1"/>
  <c r="P185" i="7"/>
  <c r="O185" i="7"/>
  <c r="N182" i="7"/>
  <c r="M182" i="7"/>
  <c r="P182" i="7" s="1"/>
  <c r="L182" i="7"/>
  <c r="O182" i="7" s="1"/>
  <c r="J180" i="7"/>
  <c r="J177" i="7"/>
  <c r="I176" i="7"/>
  <c r="I174" i="7" s="1"/>
  <c r="J174" i="7"/>
  <c r="N173" i="7"/>
  <c r="N171" i="7" s="1"/>
  <c r="M173" i="7"/>
  <c r="L173" i="7"/>
  <c r="L171" i="7" s="1"/>
  <c r="O171" i="7" s="1"/>
  <c r="P172" i="7"/>
  <c r="O172" i="7"/>
  <c r="N170" i="7"/>
  <c r="N168" i="7" s="1"/>
  <c r="M170" i="7"/>
  <c r="M168" i="7" s="1"/>
  <c r="L170" i="7"/>
  <c r="L168" i="7" s="1"/>
  <c r="P169" i="7"/>
  <c r="O169" i="7"/>
  <c r="N166" i="7"/>
  <c r="M166" i="7"/>
  <c r="P166" i="7" s="1"/>
  <c r="L166" i="7"/>
  <c r="O166" i="7" s="1"/>
  <c r="J164" i="7"/>
  <c r="I159" i="7"/>
  <c r="K159" i="7" s="1"/>
  <c r="N157" i="7"/>
  <c r="N155" i="7" s="1"/>
  <c r="M157" i="7"/>
  <c r="M155" i="7" s="1"/>
  <c r="P155" i="7" s="1"/>
  <c r="L157" i="7"/>
  <c r="P156" i="7"/>
  <c r="O156" i="7"/>
  <c r="N154" i="7"/>
  <c r="M154" i="7"/>
  <c r="L154" i="7"/>
  <c r="P153" i="7"/>
  <c r="O153" i="7"/>
  <c r="P150" i="7"/>
  <c r="O150" i="7"/>
  <c r="N150" i="7"/>
  <c r="M150" i="7"/>
  <c r="L150" i="7"/>
  <c r="J148" i="7"/>
  <c r="I146" i="7"/>
  <c r="K146" i="7" s="1"/>
  <c r="I145" i="7"/>
  <c r="I144" i="7"/>
  <c r="N140" i="7"/>
  <c r="N138" i="7" s="1"/>
  <c r="M140" i="7"/>
  <c r="L140" i="7"/>
  <c r="O140" i="7" s="1"/>
  <c r="P139" i="7"/>
  <c r="O139" i="7"/>
  <c r="N137" i="7"/>
  <c r="M137" i="7"/>
  <c r="L137" i="7"/>
  <c r="O137" i="7" s="1"/>
  <c r="P136" i="7"/>
  <c r="O136" i="7"/>
  <c r="N133" i="7"/>
  <c r="M133" i="7"/>
  <c r="L133" i="7"/>
  <c r="O133" i="7" s="1"/>
  <c r="J130" i="7"/>
  <c r="N127" i="7"/>
  <c r="N125" i="7" s="1"/>
  <c r="M127" i="7"/>
  <c r="P127" i="7" s="1"/>
  <c r="L127" i="7"/>
  <c r="O127" i="7" s="1"/>
  <c r="P126" i="7"/>
  <c r="O126" i="7"/>
  <c r="N124" i="7"/>
  <c r="N122" i="7" s="1"/>
  <c r="M124" i="7"/>
  <c r="P124" i="7" s="1"/>
  <c r="L124" i="7"/>
  <c r="P123" i="7"/>
  <c r="O123" i="7"/>
  <c r="P120" i="7"/>
  <c r="O120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J87" i="7" s="1"/>
  <c r="I99" i="7"/>
  <c r="J98" i="7"/>
  <c r="I98" i="7"/>
  <c r="I86" i="7" s="1"/>
  <c r="K86" i="7" s="1"/>
  <c r="N96" i="7"/>
  <c r="N94" i="7" s="1"/>
  <c r="M96" i="7"/>
  <c r="P96" i="7" s="1"/>
  <c r="L96" i="7"/>
  <c r="L94" i="7" s="1"/>
  <c r="O94" i="7" s="1"/>
  <c r="P95" i="7"/>
  <c r="O95" i="7"/>
  <c r="N93" i="7"/>
  <c r="N91" i="7" s="1"/>
  <c r="M93" i="7"/>
  <c r="M91" i="7" s="1"/>
  <c r="L93" i="7"/>
  <c r="L91" i="7" s="1"/>
  <c r="P92" i="7"/>
  <c r="O92" i="7"/>
  <c r="N89" i="7"/>
  <c r="M89" i="7"/>
  <c r="P89" i="7" s="1"/>
  <c r="L89" i="7"/>
  <c r="O89" i="7" s="1"/>
  <c r="J86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K78" i="7" s="1"/>
  <c r="J77" i="7"/>
  <c r="J76" i="7"/>
  <c r="J64" i="7" s="1"/>
  <c r="N74" i="7"/>
  <c r="N72" i="7" s="1"/>
  <c r="M74" i="7"/>
  <c r="P74" i="7" s="1"/>
  <c r="L74" i="7"/>
  <c r="O74" i="7" s="1"/>
  <c r="P73" i="7"/>
  <c r="O73" i="7"/>
  <c r="N71" i="7"/>
  <c r="N69" i="7" s="1"/>
  <c r="M71" i="7"/>
  <c r="P71" i="7" s="1"/>
  <c r="L71" i="7"/>
  <c r="P70" i="7"/>
  <c r="O70" i="7"/>
  <c r="P67" i="7"/>
  <c r="N67" i="7"/>
  <c r="M67" i="7"/>
  <c r="L67" i="7"/>
  <c r="O67" i="7" s="1"/>
  <c r="J65" i="7"/>
  <c r="N61" i="7"/>
  <c r="N59" i="7" s="1"/>
  <c r="M61" i="7"/>
  <c r="M59" i="7" s="1"/>
  <c r="L61" i="7"/>
  <c r="P60" i="7"/>
  <c r="O60" i="7"/>
  <c r="N58" i="7"/>
  <c r="N56" i="7" s="1"/>
  <c r="M58" i="7"/>
  <c r="L58" i="7"/>
  <c r="L56" i="7" s="1"/>
  <c r="P57" i="7"/>
  <c r="O57" i="7"/>
  <c r="O54" i="7"/>
  <c r="N54" i="7"/>
  <c r="M54" i="7"/>
  <c r="P54" i="7" s="1"/>
  <c r="L54" i="7"/>
  <c r="N49" i="7"/>
  <c r="N47" i="7" s="1"/>
  <c r="M49" i="7"/>
  <c r="P49" i="7" s="1"/>
  <c r="L49" i="7"/>
  <c r="O49" i="7" s="1"/>
  <c r="P48" i="7"/>
  <c r="O48" i="7"/>
  <c r="N46" i="7"/>
  <c r="M46" i="7"/>
  <c r="L46" i="7"/>
  <c r="P45" i="7"/>
  <c r="O45" i="7"/>
  <c r="P42" i="7"/>
  <c r="N42" i="7"/>
  <c r="M42" i="7"/>
  <c r="L42" i="7"/>
  <c r="O42" i="7" s="1"/>
  <c r="N36" i="7"/>
  <c r="M36" i="7"/>
  <c r="P36" i="7" s="1"/>
  <c r="N35" i="7"/>
  <c r="N34" i="7" s="1"/>
  <c r="M35" i="7"/>
  <c r="P35" i="7" s="1"/>
  <c r="L35" i="7"/>
  <c r="O35" i="7" s="1"/>
  <c r="P32" i="7"/>
  <c r="O32" i="7"/>
  <c r="N32" i="7"/>
  <c r="M32" i="7"/>
  <c r="L32" i="7"/>
  <c r="N29" i="7"/>
  <c r="L29" i="7"/>
  <c r="O29" i="7" s="1"/>
  <c r="P25" i="7"/>
  <c r="O25" i="7"/>
  <c r="N25" i="7"/>
  <c r="M25" i="7"/>
  <c r="L25" i="7"/>
  <c r="N22" i="7"/>
  <c r="N19" i="7" s="1"/>
  <c r="M22" i="7"/>
  <c r="P22" i="7" s="1"/>
  <c r="L22" i="7"/>
  <c r="O22" i="7" s="1"/>
  <c r="N15" i="7"/>
  <c r="M15" i="7"/>
  <c r="P15" i="7" s="1"/>
  <c r="L15" i="7"/>
  <c r="O15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J803" i="6"/>
  <c r="I803" i="6"/>
  <c r="K803" i="6" s="1"/>
  <c r="J802" i="6"/>
  <c r="J801" i="6"/>
  <c r="I801" i="6"/>
  <c r="J800" i="6"/>
  <c r="P798" i="6"/>
  <c r="O798" i="6"/>
  <c r="P797" i="6"/>
  <c r="O797" i="6"/>
  <c r="P796" i="6"/>
  <c r="N796" i="6"/>
  <c r="M796" i="6"/>
  <c r="L796" i="6"/>
  <c r="O796" i="6" s="1"/>
  <c r="N791" i="6"/>
  <c r="L791" i="6"/>
  <c r="L789" i="6" s="1"/>
  <c r="P790" i="6"/>
  <c r="O790" i="6"/>
  <c r="N788" i="6"/>
  <c r="P787" i="6"/>
  <c r="N787" i="6"/>
  <c r="N786" i="6" s="1"/>
  <c r="M787" i="6"/>
  <c r="L787" i="6"/>
  <c r="O787" i="6" s="1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P774" i="6"/>
  <c r="O774" i="6"/>
  <c r="O773" i="6"/>
  <c r="M773" i="6"/>
  <c r="P773" i="6" s="1"/>
  <c r="L773" i="6"/>
  <c r="P772" i="6"/>
  <c r="M772" i="6"/>
  <c r="L772" i="6"/>
  <c r="O771" i="6"/>
  <c r="N771" i="6"/>
  <c r="M771" i="6"/>
  <c r="P771" i="6" s="1"/>
  <c r="L771" i="6"/>
  <c r="P770" i="6"/>
  <c r="M770" i="6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P758" i="6"/>
  <c r="O758" i="6"/>
  <c r="O757" i="6"/>
  <c r="M757" i="6"/>
  <c r="P757" i="6" s="1"/>
  <c r="L757" i="6"/>
  <c r="P756" i="6"/>
  <c r="M756" i="6"/>
  <c r="L756" i="6"/>
  <c r="O755" i="6"/>
  <c r="N755" i="6"/>
  <c r="M755" i="6"/>
  <c r="P755" i="6" s="1"/>
  <c r="L755" i="6"/>
  <c r="P754" i="6"/>
  <c r="M754" i="6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P741" i="6"/>
  <c r="O741" i="6"/>
  <c r="O740" i="6"/>
  <c r="M740" i="6"/>
  <c r="P740" i="6" s="1"/>
  <c r="L740" i="6"/>
  <c r="P739" i="6"/>
  <c r="M739" i="6"/>
  <c r="L739" i="6"/>
  <c r="O738" i="6"/>
  <c r="N738" i="6"/>
  <c r="M738" i="6"/>
  <c r="P738" i="6" s="1"/>
  <c r="L738" i="6"/>
  <c r="P737" i="6"/>
  <c r="M737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O695" i="6"/>
  <c r="N695" i="6"/>
  <c r="M695" i="6"/>
  <c r="P695" i="6" s="1"/>
  <c r="L695" i="6"/>
  <c r="N690" i="6"/>
  <c r="L690" i="6"/>
  <c r="O686" i="6"/>
  <c r="N686" i="6"/>
  <c r="M686" i="6"/>
  <c r="P686" i="6" s="1"/>
  <c r="L686" i="6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K672" i="6" s="1"/>
  <c r="P667" i="6"/>
  <c r="O667" i="6"/>
  <c r="P666" i="6"/>
  <c r="O666" i="6"/>
  <c r="O665" i="6"/>
  <c r="N665" i="6"/>
  <c r="M665" i="6"/>
  <c r="P665" i="6" s="1"/>
  <c r="L665" i="6"/>
  <c r="N660" i="6"/>
  <c r="L660" i="6"/>
  <c r="O660" i="6" s="1"/>
  <c r="P659" i="6"/>
  <c r="O659" i="6"/>
  <c r="N658" i="6"/>
  <c r="N657" i="6"/>
  <c r="O656" i="6"/>
  <c r="N656" i="6"/>
  <c r="M656" i="6"/>
  <c r="L656" i="6"/>
  <c r="N655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4" i="6"/>
  <c r="L634" i="6"/>
  <c r="P633" i="6"/>
  <c r="O633" i="6"/>
  <c r="N632" i="6"/>
  <c r="N631" i="6"/>
  <c r="P630" i="6"/>
  <c r="N630" i="6"/>
  <c r="M630" i="6"/>
  <c r="L630" i="6"/>
  <c r="N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K594" i="6" s="1"/>
  <c r="I593" i="6"/>
  <c r="J583" i="6"/>
  <c r="J577" i="6" s="1"/>
  <c r="J582" i="6"/>
  <c r="I577" i="6"/>
  <c r="K577" i="6" s="1"/>
  <c r="J576" i="6"/>
  <c r="J559" i="6" s="1"/>
  <c r="J543" i="6" s="1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O557" i="6" s="1"/>
  <c r="P556" i="6"/>
  <c r="O556" i="6"/>
  <c r="P555" i="6"/>
  <c r="N555" i="6"/>
  <c r="M555" i="6"/>
  <c r="N549" i="6"/>
  <c r="N547" i="6" s="1"/>
  <c r="L549" i="6"/>
  <c r="M549" i="6" s="1"/>
  <c r="P548" i="6"/>
  <c r="O548" i="6"/>
  <c r="N546" i="6"/>
  <c r="P545" i="6"/>
  <c r="N545" i="6"/>
  <c r="N544" i="6" s="1"/>
  <c r="M545" i="6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P535" i="6"/>
  <c r="L535" i="6"/>
  <c r="L533" i="6" s="1"/>
  <c r="O533" i="6" s="1"/>
  <c r="P534" i="6"/>
  <c r="O534" i="6"/>
  <c r="N533" i="6"/>
  <c r="M533" i="6"/>
  <c r="P533" i="6" s="1"/>
  <c r="N528" i="6"/>
  <c r="L528" i="6"/>
  <c r="P527" i="6"/>
  <c r="O527" i="6"/>
  <c r="N526" i="6"/>
  <c r="N525" i="6"/>
  <c r="O524" i="6"/>
  <c r="N524" i="6"/>
  <c r="M524" i="6"/>
  <c r="L524" i="6"/>
  <c r="N523" i="6"/>
  <c r="K517" i="6"/>
  <c r="J517" i="6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N505" i="6" s="1"/>
  <c r="P506" i="6"/>
  <c r="O506" i="6"/>
  <c r="M505" i="6"/>
  <c r="P505" i="6" s="1"/>
  <c r="L505" i="6"/>
  <c r="O505" i="6" s="1"/>
  <c r="P504" i="6"/>
  <c r="N504" i="6"/>
  <c r="N502" i="6" s="1"/>
  <c r="M504" i="6"/>
  <c r="L504" i="6"/>
  <c r="O504" i="6" s="1"/>
  <c r="P503" i="6"/>
  <c r="O503" i="6"/>
  <c r="N503" i="6"/>
  <c r="M503" i="6"/>
  <c r="M502" i="6" s="1"/>
  <c r="P502" i="6" s="1"/>
  <c r="L503" i="6"/>
  <c r="O502" i="6"/>
  <c r="L502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L477" i="6"/>
  <c r="O477" i="6" s="1"/>
  <c r="N472" i="6"/>
  <c r="L472" i="6"/>
  <c r="O472" i="6" s="1"/>
  <c r="P471" i="6"/>
  <c r="O471" i="6"/>
  <c r="N470" i="6"/>
  <c r="N469" i="6"/>
  <c r="P468" i="6"/>
  <c r="N468" i="6"/>
  <c r="N467" i="6" s="1"/>
  <c r="M468" i="6"/>
  <c r="L468" i="6"/>
  <c r="J466" i="6"/>
  <c r="I466" i="6"/>
  <c r="K466" i="6" s="1"/>
  <c r="J465" i="6"/>
  <c r="I465" i="6"/>
  <c r="K465" i="6" s="1"/>
  <c r="I464" i="6"/>
  <c r="K464" i="6" s="1"/>
  <c r="I463" i="6"/>
  <c r="K463" i="6" s="1"/>
  <c r="I462" i="6"/>
  <c r="K462" i="6" s="1"/>
  <c r="I460" i="6"/>
  <c r="I442" i="6" s="1"/>
  <c r="K442" i="6" s="1"/>
  <c r="K458" i="6"/>
  <c r="P456" i="6"/>
  <c r="L456" i="6"/>
  <c r="O456" i="6" s="1"/>
  <c r="P455" i="6"/>
  <c r="O455" i="6"/>
  <c r="N454" i="6"/>
  <c r="M454" i="6"/>
  <c r="P454" i="6" s="1"/>
  <c r="N449" i="6"/>
  <c r="L449" i="6"/>
  <c r="O449" i="6" s="1"/>
  <c r="P448" i="6"/>
  <c r="O448" i="6"/>
  <c r="N447" i="6"/>
  <c r="N446" i="6"/>
  <c r="P445" i="6"/>
  <c r="O445" i="6"/>
  <c r="N445" i="6"/>
  <c r="N444" i="6" s="1"/>
  <c r="M445" i="6"/>
  <c r="L445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I435" i="6"/>
  <c r="I433" i="6" s="1"/>
  <c r="I417" i="6" s="1"/>
  <c r="J434" i="6"/>
  <c r="P431" i="6"/>
  <c r="L431" i="6"/>
  <c r="O431" i="6" s="1"/>
  <c r="P430" i="6"/>
  <c r="O430" i="6"/>
  <c r="N429" i="6"/>
  <c r="M429" i="6"/>
  <c r="P429" i="6" s="1"/>
  <c r="N424" i="6"/>
  <c r="N421" i="6" s="1"/>
  <c r="N419" i="6" s="1"/>
  <c r="L424" i="6"/>
  <c r="P423" i="6"/>
  <c r="O423" i="6"/>
  <c r="N422" i="6"/>
  <c r="P420" i="6"/>
  <c r="N420" i="6"/>
  <c r="M420" i="6"/>
  <c r="L420" i="6"/>
  <c r="J418" i="6"/>
  <c r="K413" i="6"/>
  <c r="K412" i="6"/>
  <c r="N410" i="6"/>
  <c r="M410" i="6"/>
  <c r="L410" i="6"/>
  <c r="O410" i="6" s="1"/>
  <c r="P409" i="6"/>
  <c r="O409" i="6"/>
  <c r="N407" i="6"/>
  <c r="N405" i="6" s="1"/>
  <c r="M407" i="6"/>
  <c r="P407" i="6" s="1"/>
  <c r="L407" i="6"/>
  <c r="O407" i="6" s="1"/>
  <c r="P406" i="6"/>
  <c r="O406" i="6"/>
  <c r="O403" i="6"/>
  <c r="N403" i="6"/>
  <c r="M403" i="6"/>
  <c r="P403" i="6" s="1"/>
  <c r="L403" i="6"/>
  <c r="J401" i="6"/>
  <c r="I401" i="6"/>
  <c r="K401" i="6" s="1"/>
  <c r="K400" i="6"/>
  <c r="K399" i="6"/>
  <c r="N397" i="6"/>
  <c r="N395" i="6" s="1"/>
  <c r="M397" i="6"/>
  <c r="P397" i="6" s="1"/>
  <c r="L397" i="6"/>
  <c r="P396" i="6"/>
  <c r="O396" i="6"/>
  <c r="N394" i="6"/>
  <c r="M394" i="6"/>
  <c r="P394" i="6" s="1"/>
  <c r="L394" i="6"/>
  <c r="O394" i="6" s="1"/>
  <c r="P393" i="6"/>
  <c r="O393" i="6"/>
  <c r="O390" i="6"/>
  <c r="N390" i="6"/>
  <c r="M390" i="6"/>
  <c r="L390" i="6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L351" i="6" s="1"/>
  <c r="P352" i="6"/>
  <c r="O352" i="6"/>
  <c r="N350" i="6"/>
  <c r="M350" i="6"/>
  <c r="L350" i="6"/>
  <c r="L348" i="6" s="1"/>
  <c r="P349" i="6"/>
  <c r="O349" i="6"/>
  <c r="P346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N331" i="6" s="1"/>
  <c r="M333" i="6"/>
  <c r="L333" i="6"/>
  <c r="L331" i="6" s="1"/>
  <c r="P332" i="6"/>
  <c r="O332" i="6"/>
  <c r="P329" i="6"/>
  <c r="N329" i="6"/>
  <c r="M329" i="6"/>
  <c r="L329" i="6"/>
  <c r="O329" i="6" s="1"/>
  <c r="I327" i="6"/>
  <c r="I325" i="6"/>
  <c r="N323" i="6"/>
  <c r="N321" i="6" s="1"/>
  <c r="M323" i="6"/>
  <c r="M321" i="6" s="1"/>
  <c r="P321" i="6" s="1"/>
  <c r="L323" i="6"/>
  <c r="O323" i="6" s="1"/>
  <c r="P322" i="6"/>
  <c r="O322" i="6"/>
  <c r="N320" i="6"/>
  <c r="N318" i="6" s="1"/>
  <c r="M320" i="6"/>
  <c r="L320" i="6"/>
  <c r="P319" i="6"/>
  <c r="O319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P305" i="6"/>
  <c r="O305" i="6"/>
  <c r="N303" i="6"/>
  <c r="M303" i="6"/>
  <c r="M301" i="6" s="1"/>
  <c r="L303" i="6"/>
  <c r="P302" i="6"/>
  <c r="O302" i="6"/>
  <c r="O299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K287" i="6" s="1"/>
  <c r="N285" i="6"/>
  <c r="N283" i="6" s="1"/>
  <c r="M285" i="6"/>
  <c r="L285" i="6"/>
  <c r="O285" i="6" s="1"/>
  <c r="P284" i="6"/>
  <c r="O284" i="6"/>
  <c r="N282" i="6"/>
  <c r="M282" i="6"/>
  <c r="L282" i="6"/>
  <c r="L280" i="6" s="1"/>
  <c r="P281" i="6"/>
  <c r="O281" i="6"/>
  <c r="P278" i="6"/>
  <c r="N278" i="6"/>
  <c r="M278" i="6"/>
  <c r="L278" i="6"/>
  <c r="J276" i="6"/>
  <c r="I271" i="6"/>
  <c r="I260" i="6" s="1"/>
  <c r="N269" i="6"/>
  <c r="N267" i="6" s="1"/>
  <c r="M269" i="6"/>
  <c r="L269" i="6"/>
  <c r="P268" i="6"/>
  <c r="O268" i="6"/>
  <c r="N266" i="6"/>
  <c r="M266" i="6"/>
  <c r="M264" i="6" s="1"/>
  <c r="L266" i="6"/>
  <c r="P265" i="6"/>
  <c r="O265" i="6"/>
  <c r="O262" i="6"/>
  <c r="N262" i="6"/>
  <c r="M262" i="6"/>
  <c r="P262" i="6" s="1"/>
  <c r="L262" i="6"/>
  <c r="J260" i="6"/>
  <c r="K258" i="6"/>
  <c r="K257" i="6"/>
  <c r="I255" i="6"/>
  <c r="I248" i="6" s="1"/>
  <c r="K248" i="6" s="1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N227" i="6" s="1"/>
  <c r="J237" i="6"/>
  <c r="J226" i="6" s="1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K225" i="6" s="1"/>
  <c r="I224" i="6"/>
  <c r="I223" i="6"/>
  <c r="K223" i="6" s="1"/>
  <c r="L220" i="6"/>
  <c r="L219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K207" i="6"/>
  <c r="K206" i="6"/>
  <c r="I204" i="6"/>
  <c r="L202" i="6"/>
  <c r="L201" i="6"/>
  <c r="L200" i="6"/>
  <c r="L199" i="6"/>
  <c r="P198" i="6"/>
  <c r="N198" i="6"/>
  <c r="J197" i="6"/>
  <c r="J194" i="6"/>
  <c r="I193" i="6"/>
  <c r="I190" i="6" s="1"/>
  <c r="K190" i="6" s="1"/>
  <c r="P191" i="6"/>
  <c r="L191" i="6"/>
  <c r="O191" i="6" s="1"/>
  <c r="J190" i="6"/>
  <c r="N189" i="6"/>
  <c r="N187" i="6" s="1"/>
  <c r="M189" i="6"/>
  <c r="P189" i="6" s="1"/>
  <c r="L189" i="6"/>
  <c r="P188" i="6"/>
  <c r="O188" i="6"/>
  <c r="N186" i="6"/>
  <c r="M186" i="6"/>
  <c r="M184" i="6" s="1"/>
  <c r="L186" i="6"/>
  <c r="P185" i="6"/>
  <c r="O185" i="6"/>
  <c r="N182" i="6"/>
  <c r="M182" i="6"/>
  <c r="L182" i="6"/>
  <c r="O182" i="6" s="1"/>
  <c r="J180" i="6"/>
  <c r="J177" i="6"/>
  <c r="I176" i="6"/>
  <c r="J174" i="6"/>
  <c r="N173" i="6"/>
  <c r="N171" i="6" s="1"/>
  <c r="M173" i="6"/>
  <c r="P173" i="6" s="1"/>
  <c r="L173" i="6"/>
  <c r="P172" i="6"/>
  <c r="O172" i="6"/>
  <c r="N170" i="6"/>
  <c r="N168" i="6" s="1"/>
  <c r="M170" i="6"/>
  <c r="L170" i="6"/>
  <c r="P169" i="6"/>
  <c r="O169" i="6"/>
  <c r="N166" i="6"/>
  <c r="M166" i="6"/>
  <c r="L166" i="6"/>
  <c r="O166" i="6" s="1"/>
  <c r="J164" i="6"/>
  <c r="I159" i="6"/>
  <c r="I148" i="6" s="1"/>
  <c r="N157" i="6"/>
  <c r="N155" i="6" s="1"/>
  <c r="M157" i="6"/>
  <c r="P157" i="6" s="1"/>
  <c r="L157" i="6"/>
  <c r="L155" i="6" s="1"/>
  <c r="O155" i="6" s="1"/>
  <c r="P156" i="6"/>
  <c r="O156" i="6"/>
  <c r="N154" i="6"/>
  <c r="N152" i="6" s="1"/>
  <c r="M154" i="6"/>
  <c r="M152" i="6" s="1"/>
  <c r="L154" i="6"/>
  <c r="L152" i="6" s="1"/>
  <c r="P153" i="6"/>
  <c r="O153" i="6"/>
  <c r="O150" i="6"/>
  <c r="N150" i="6"/>
  <c r="M150" i="6"/>
  <c r="L150" i="6"/>
  <c r="J148" i="6"/>
  <c r="I146" i="6"/>
  <c r="I130" i="6" s="1"/>
  <c r="I145" i="6"/>
  <c r="K145" i="6" s="1"/>
  <c r="I144" i="6"/>
  <c r="N140" i="6"/>
  <c r="N138" i="6" s="1"/>
  <c r="M140" i="6"/>
  <c r="M138" i="6" s="1"/>
  <c r="L140" i="6"/>
  <c r="P139" i="6"/>
  <c r="O139" i="6"/>
  <c r="N137" i="6"/>
  <c r="M137" i="6"/>
  <c r="M135" i="6" s="1"/>
  <c r="L137" i="6"/>
  <c r="L135" i="6" s="1"/>
  <c r="P136" i="6"/>
  <c r="O136" i="6"/>
  <c r="P133" i="6"/>
  <c r="N133" i="6"/>
  <c r="M133" i="6"/>
  <c r="L133" i="6"/>
  <c r="J130" i="6"/>
  <c r="N127" i="6"/>
  <c r="M127" i="6"/>
  <c r="M125" i="6" s="1"/>
  <c r="L127" i="6"/>
  <c r="L125" i="6" s="1"/>
  <c r="P126" i="6"/>
  <c r="O126" i="6"/>
  <c r="N124" i="6"/>
  <c r="N122" i="6" s="1"/>
  <c r="M124" i="6"/>
  <c r="P124" i="6" s="1"/>
  <c r="L124" i="6"/>
  <c r="P123" i="6"/>
  <c r="O123" i="6"/>
  <c r="O120" i="6"/>
  <c r="N120" i="6"/>
  <c r="M120" i="6"/>
  <c r="P120" i="6" s="1"/>
  <c r="L120" i="6"/>
  <c r="J118" i="6"/>
  <c r="K118" i="6" s="1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I87" i="6" s="1"/>
  <c r="K87" i="6" s="1"/>
  <c r="J98" i="6"/>
  <c r="I98" i="6"/>
  <c r="K98" i="6" s="1"/>
  <c r="N96" i="6"/>
  <c r="M96" i="6"/>
  <c r="P96" i="6" s="1"/>
  <c r="L96" i="6"/>
  <c r="P95" i="6"/>
  <c r="O95" i="6"/>
  <c r="N93" i="6"/>
  <c r="N91" i="6" s="1"/>
  <c r="M93" i="6"/>
  <c r="L93" i="6"/>
  <c r="P92" i="6"/>
  <c r="O92" i="6"/>
  <c r="P89" i="6"/>
  <c r="O89" i="6"/>
  <c r="N89" i="6"/>
  <c r="M89" i="6"/>
  <c r="L89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65" i="6" s="1"/>
  <c r="J76" i="6"/>
  <c r="N74" i="6"/>
  <c r="N72" i="6" s="1"/>
  <c r="M74" i="6"/>
  <c r="L74" i="6"/>
  <c r="O74" i="6" s="1"/>
  <c r="P73" i="6"/>
  <c r="O73" i="6"/>
  <c r="N71" i="6"/>
  <c r="N69" i="6" s="1"/>
  <c r="M71" i="6"/>
  <c r="M69" i="6" s="1"/>
  <c r="P69" i="6" s="1"/>
  <c r="L71" i="6"/>
  <c r="O71" i="6" s="1"/>
  <c r="P70" i="6"/>
  <c r="O70" i="6"/>
  <c r="P67" i="6"/>
  <c r="O67" i="6"/>
  <c r="N67" i="6"/>
  <c r="M67" i="6"/>
  <c r="L67" i="6"/>
  <c r="J64" i="6"/>
  <c r="N61" i="6"/>
  <c r="M61" i="6"/>
  <c r="M59" i="6" s="1"/>
  <c r="L61" i="6"/>
  <c r="L59" i="6" s="1"/>
  <c r="P60" i="6"/>
  <c r="O60" i="6"/>
  <c r="N58" i="6"/>
  <c r="M58" i="6"/>
  <c r="L58" i="6"/>
  <c r="L56" i="6" s="1"/>
  <c r="P57" i="6"/>
  <c r="O57" i="6"/>
  <c r="P54" i="6"/>
  <c r="N54" i="6"/>
  <c r="M54" i="6"/>
  <c r="L54" i="6"/>
  <c r="N49" i="6"/>
  <c r="N47" i="6" s="1"/>
  <c r="M49" i="6"/>
  <c r="M47" i="6" s="1"/>
  <c r="P47" i="6" s="1"/>
  <c r="L49" i="6"/>
  <c r="O49" i="6" s="1"/>
  <c r="P48" i="6"/>
  <c r="O48" i="6"/>
  <c r="N46" i="6"/>
  <c r="M46" i="6"/>
  <c r="M44" i="6" s="1"/>
  <c r="L46" i="6"/>
  <c r="L44" i="6" s="1"/>
  <c r="P45" i="6"/>
  <c r="O45" i="6"/>
  <c r="P42" i="6"/>
  <c r="N42" i="6"/>
  <c r="M42" i="6"/>
  <c r="L42" i="6"/>
  <c r="N36" i="6"/>
  <c r="M36" i="6"/>
  <c r="P35" i="6"/>
  <c r="N35" i="6"/>
  <c r="M35" i="6"/>
  <c r="L35" i="6"/>
  <c r="N34" i="6"/>
  <c r="N33" i="6"/>
  <c r="N30" i="6" s="1"/>
  <c r="N32" i="6"/>
  <c r="M32" i="6"/>
  <c r="L32" i="6"/>
  <c r="O32" i="6" s="1"/>
  <c r="N31" i="6"/>
  <c r="N29" i="6"/>
  <c r="N28" i="6" s="1"/>
  <c r="N25" i="6"/>
  <c r="M25" i="6"/>
  <c r="L25" i="6"/>
  <c r="L15" i="6" s="1"/>
  <c r="P22" i="6"/>
  <c r="O22" i="6"/>
  <c r="N22" i="6"/>
  <c r="N19" i="6" s="1"/>
  <c r="M22" i="6"/>
  <c r="L22" i="6"/>
  <c r="L19" i="6" s="1"/>
  <c r="M19" i="6"/>
  <c r="P19" i="6" s="1"/>
  <c r="N12" i="6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N807" i="5" s="1"/>
  <c r="N805" i="5" s="1"/>
  <c r="P809" i="5"/>
  <c r="O809" i="5"/>
  <c r="P808" i="5"/>
  <c r="N808" i="5"/>
  <c r="M808" i="5"/>
  <c r="L808" i="5"/>
  <c r="O808" i="5" s="1"/>
  <c r="O807" i="5"/>
  <c r="M807" i="5"/>
  <c r="L807" i="5"/>
  <c r="P806" i="5"/>
  <c r="N806" i="5"/>
  <c r="M806" i="5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L789" i="5" s="1"/>
  <c r="O789" i="5" s="1"/>
  <c r="P790" i="5"/>
  <c r="O790" i="5"/>
  <c r="P789" i="5"/>
  <c r="N789" i="5"/>
  <c r="M789" i="5"/>
  <c r="M788" i="5"/>
  <c r="P787" i="5"/>
  <c r="N787" i="5"/>
  <c r="M787" i="5"/>
  <c r="L787" i="5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N773" i="5" s="1"/>
  <c r="P774" i="5"/>
  <c r="O774" i="5"/>
  <c r="O773" i="5"/>
  <c r="M773" i="5"/>
  <c r="P773" i="5" s="1"/>
  <c r="L773" i="5"/>
  <c r="P772" i="5"/>
  <c r="N772" i="5"/>
  <c r="N770" i="5" s="1"/>
  <c r="M772" i="5"/>
  <c r="L772" i="5"/>
  <c r="O772" i="5" s="1"/>
  <c r="O771" i="5"/>
  <c r="N771" i="5"/>
  <c r="M771" i="5"/>
  <c r="L771" i="5"/>
  <c r="L770" i="5"/>
  <c r="O770" i="5" s="1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N757" i="5" s="1"/>
  <c r="P758" i="5"/>
  <c r="O758" i="5"/>
  <c r="O757" i="5"/>
  <c r="M757" i="5"/>
  <c r="P757" i="5" s="1"/>
  <c r="L757" i="5"/>
  <c r="P756" i="5"/>
  <c r="N756" i="5"/>
  <c r="N754" i="5" s="1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N740" i="5" s="1"/>
  <c r="P741" i="5"/>
  <c r="O741" i="5"/>
  <c r="O740" i="5"/>
  <c r="M740" i="5"/>
  <c r="P740" i="5" s="1"/>
  <c r="L740" i="5"/>
  <c r="P739" i="5"/>
  <c r="N739" i="5"/>
  <c r="N737" i="5" s="1"/>
  <c r="M739" i="5"/>
  <c r="L739" i="5"/>
  <c r="O739" i="5" s="1"/>
  <c r="O738" i="5"/>
  <c r="N738" i="5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O695" i="5"/>
  <c r="N695" i="5"/>
  <c r="M695" i="5"/>
  <c r="P695" i="5" s="1"/>
  <c r="L695" i="5"/>
  <c r="N690" i="5"/>
  <c r="N688" i="5" s="1"/>
  <c r="L690" i="5"/>
  <c r="N687" i="5"/>
  <c r="N685" i="5" s="1"/>
  <c r="O686" i="5"/>
  <c r="N686" i="5"/>
  <c r="M686" i="5"/>
  <c r="L686" i="5"/>
  <c r="J679" i="5"/>
  <c r="J678" i="5"/>
  <c r="I678" i="5"/>
  <c r="K678" i="5" s="1"/>
  <c r="J675" i="5"/>
  <c r="J669" i="5" s="1"/>
  <c r="I671" i="5"/>
  <c r="K671" i="5" s="1"/>
  <c r="I670" i="5"/>
  <c r="K670" i="5" s="1"/>
  <c r="I669" i="5"/>
  <c r="K674" i="5" s="1"/>
  <c r="P667" i="5"/>
  <c r="O667" i="5"/>
  <c r="P666" i="5"/>
  <c r="O666" i="5"/>
  <c r="O665" i="5"/>
  <c r="N665" i="5"/>
  <c r="M665" i="5"/>
  <c r="P665" i="5" s="1"/>
  <c r="L665" i="5"/>
  <c r="N660" i="5"/>
  <c r="N658" i="5" s="1"/>
  <c r="L660" i="5"/>
  <c r="L657" i="5" s="1"/>
  <c r="P659" i="5"/>
  <c r="O659" i="5"/>
  <c r="N657" i="5"/>
  <c r="O656" i="5"/>
  <c r="N656" i="5"/>
  <c r="M656" i="5"/>
  <c r="P656" i="5" s="1"/>
  <c r="L656" i="5"/>
  <c r="N655" i="5"/>
  <c r="K652" i="5"/>
  <c r="J652" i="5"/>
  <c r="J651" i="5"/>
  <c r="J628" i="5" s="1"/>
  <c r="I651" i="5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P634" i="5"/>
  <c r="N634" i="5"/>
  <c r="L634" i="5"/>
  <c r="P633" i="5"/>
  <c r="O633" i="5"/>
  <c r="N632" i="5"/>
  <c r="M632" i="5"/>
  <c r="P632" i="5" s="1"/>
  <c r="P631" i="5"/>
  <c r="N631" i="5"/>
  <c r="N629" i="5" s="1"/>
  <c r="M631" i="5"/>
  <c r="O630" i="5"/>
  <c r="N630" i="5"/>
  <c r="M630" i="5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J593" i="5"/>
  <c r="J592" i="5" s="1"/>
  <c r="I593" i="5"/>
  <c r="I592" i="5" s="1"/>
  <c r="J583" i="5"/>
  <c r="J582" i="5"/>
  <c r="J576" i="5" s="1"/>
  <c r="J577" i="5"/>
  <c r="I577" i="5"/>
  <c r="K577" i="5" s="1"/>
  <c r="I576" i="5"/>
  <c r="J569" i="5"/>
  <c r="I569" i="5"/>
  <c r="K569" i="5" s="1"/>
  <c r="J568" i="5"/>
  <c r="I568" i="5"/>
  <c r="K568" i="5" s="1"/>
  <c r="J561" i="5"/>
  <c r="I561" i="5"/>
  <c r="J560" i="5"/>
  <c r="I560" i="5"/>
  <c r="K560" i="5" s="1"/>
  <c r="J559" i="5"/>
  <c r="P557" i="5"/>
  <c r="L557" i="5"/>
  <c r="P556" i="5"/>
  <c r="O556" i="5"/>
  <c r="N555" i="5"/>
  <c r="M555" i="5"/>
  <c r="N549" i="5"/>
  <c r="N547" i="5" s="1"/>
  <c r="L549" i="5"/>
  <c r="P548" i="5"/>
  <c r="O548" i="5"/>
  <c r="N546" i="5"/>
  <c r="O545" i="5"/>
  <c r="N545" i="5"/>
  <c r="L545" i="5"/>
  <c r="N544" i="5"/>
  <c r="J543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I522" i="5" s="1"/>
  <c r="K522" i="5" s="1"/>
  <c r="P535" i="5"/>
  <c r="L535" i="5"/>
  <c r="O535" i="5" s="1"/>
  <c r="P534" i="5"/>
  <c r="O534" i="5"/>
  <c r="P533" i="5"/>
  <c r="N533" i="5"/>
  <c r="M533" i="5"/>
  <c r="P528" i="5"/>
  <c r="N528" i="5"/>
  <c r="L528" i="5"/>
  <c r="L526" i="5" s="1"/>
  <c r="O526" i="5" s="1"/>
  <c r="P527" i="5"/>
  <c r="O527" i="5"/>
  <c r="N526" i="5"/>
  <c r="M526" i="5"/>
  <c r="P526" i="5" s="1"/>
  <c r="N525" i="5"/>
  <c r="N523" i="5" s="1"/>
  <c r="M525" i="5"/>
  <c r="P525" i="5" s="1"/>
  <c r="N524" i="5"/>
  <c r="M524" i="5"/>
  <c r="L524" i="5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N505" i="5" s="1"/>
  <c r="P506" i="5"/>
  <c r="O506" i="5"/>
  <c r="O505" i="5"/>
  <c r="M505" i="5"/>
  <c r="P505" i="5" s="1"/>
  <c r="L505" i="5"/>
  <c r="P504" i="5"/>
  <c r="N504" i="5"/>
  <c r="N502" i="5" s="1"/>
  <c r="M504" i="5"/>
  <c r="L504" i="5"/>
  <c r="O504" i="5" s="1"/>
  <c r="P503" i="5"/>
  <c r="N503" i="5"/>
  <c r="M503" i="5"/>
  <c r="M502" i="5" s="1"/>
  <c r="P502" i="5" s="1"/>
  <c r="L503" i="5"/>
  <c r="O503" i="5" s="1"/>
  <c r="O502" i="5"/>
  <c r="L502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N477" i="5"/>
  <c r="M477" i="5"/>
  <c r="P477" i="5" s="1"/>
  <c r="N472" i="5"/>
  <c r="L472" i="5"/>
  <c r="M472" i="5" s="1"/>
  <c r="P471" i="5"/>
  <c r="O471" i="5"/>
  <c r="N470" i="5"/>
  <c r="N469" i="5"/>
  <c r="N468" i="5"/>
  <c r="N467" i="5" s="1"/>
  <c r="M468" i="5"/>
  <c r="P468" i="5" s="1"/>
  <c r="L468" i="5"/>
  <c r="O468" i="5" s="1"/>
  <c r="J466" i="5"/>
  <c r="I466" i="5"/>
  <c r="K466" i="5" s="1"/>
  <c r="J465" i="5"/>
  <c r="I465" i="5"/>
  <c r="I464" i="5"/>
  <c r="K464" i="5" s="1"/>
  <c r="I463" i="5"/>
  <c r="K463" i="5" s="1"/>
  <c r="I462" i="5"/>
  <c r="I443" i="5" s="1"/>
  <c r="K443" i="5" s="1"/>
  <c r="I460" i="5"/>
  <c r="I442" i="5" s="1"/>
  <c r="K442" i="5" s="1"/>
  <c r="K458" i="5"/>
  <c r="P456" i="5"/>
  <c r="L456" i="5"/>
  <c r="O456" i="5" s="1"/>
  <c r="P455" i="5"/>
  <c r="O455" i="5"/>
  <c r="N454" i="5"/>
  <c r="M454" i="5"/>
  <c r="P454" i="5" s="1"/>
  <c r="N449" i="5"/>
  <c r="L449" i="5"/>
  <c r="P448" i="5"/>
  <c r="O448" i="5"/>
  <c r="N447" i="5"/>
  <c r="N446" i="5"/>
  <c r="P445" i="5"/>
  <c r="N445" i="5"/>
  <c r="N444" i="5" s="1"/>
  <c r="M445" i="5"/>
  <c r="L445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J434" i="5"/>
  <c r="J418" i="5" s="1"/>
  <c r="P431" i="5"/>
  <c r="L431" i="5"/>
  <c r="P430" i="5"/>
  <c r="O430" i="5"/>
  <c r="N429" i="5"/>
  <c r="M429" i="5"/>
  <c r="P429" i="5" s="1"/>
  <c r="N424" i="5"/>
  <c r="N421" i="5" s="1"/>
  <c r="N419" i="5" s="1"/>
  <c r="N414" i="5" s="1"/>
  <c r="L424" i="5"/>
  <c r="P423" i="5"/>
  <c r="O423" i="5"/>
  <c r="N422" i="5"/>
  <c r="O420" i="5"/>
  <c r="N420" i="5"/>
  <c r="M420" i="5"/>
  <c r="L420" i="5"/>
  <c r="K413" i="5"/>
  <c r="K412" i="5"/>
  <c r="N410" i="5"/>
  <c r="N408" i="5" s="1"/>
  <c r="M410" i="5"/>
  <c r="L410" i="5"/>
  <c r="P409" i="5"/>
  <c r="O409" i="5"/>
  <c r="N407" i="5"/>
  <c r="M407" i="5"/>
  <c r="P407" i="5" s="1"/>
  <c r="L407" i="5"/>
  <c r="L405" i="5" s="1"/>
  <c r="O405" i="5" s="1"/>
  <c r="P406" i="5"/>
  <c r="O406" i="5"/>
  <c r="P403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L397" i="5"/>
  <c r="O397" i="5" s="1"/>
  <c r="P396" i="5"/>
  <c r="O396" i="5"/>
  <c r="N394" i="5"/>
  <c r="M394" i="5"/>
  <c r="L394" i="5"/>
  <c r="O394" i="5" s="1"/>
  <c r="P393" i="5"/>
  <c r="O393" i="5"/>
  <c r="P390" i="5"/>
  <c r="N390" i="5"/>
  <c r="M390" i="5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M350" i="5"/>
  <c r="M348" i="5" s="1"/>
  <c r="L350" i="5"/>
  <c r="P349" i="5"/>
  <c r="O349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P335" i="5"/>
  <c r="O335" i="5"/>
  <c r="N333" i="5"/>
  <c r="M333" i="5"/>
  <c r="M331" i="5" s="1"/>
  <c r="L333" i="5"/>
  <c r="P332" i="5"/>
  <c r="O332" i="5"/>
  <c r="O329" i="5"/>
  <c r="N329" i="5"/>
  <c r="M329" i="5"/>
  <c r="P329" i="5" s="1"/>
  <c r="L329" i="5"/>
  <c r="I327" i="5"/>
  <c r="I325" i="5"/>
  <c r="K325" i="5" s="1"/>
  <c r="N323" i="5"/>
  <c r="N321" i="5" s="1"/>
  <c r="M323" i="5"/>
  <c r="L323" i="5"/>
  <c r="O323" i="5" s="1"/>
  <c r="P322" i="5"/>
  <c r="O322" i="5"/>
  <c r="N320" i="5"/>
  <c r="N318" i="5" s="1"/>
  <c r="M320" i="5"/>
  <c r="M318" i="5" s="1"/>
  <c r="P318" i="5" s="1"/>
  <c r="L320" i="5"/>
  <c r="O320" i="5" s="1"/>
  <c r="P319" i="5"/>
  <c r="O319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N306" i="5"/>
  <c r="N304" i="5" s="1"/>
  <c r="M306" i="5"/>
  <c r="P306" i="5" s="1"/>
  <c r="L306" i="5"/>
  <c r="O306" i="5" s="1"/>
  <c r="P305" i="5"/>
  <c r="O305" i="5"/>
  <c r="N303" i="5"/>
  <c r="M303" i="5"/>
  <c r="L303" i="5"/>
  <c r="P302" i="5"/>
  <c r="O302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I287" i="5"/>
  <c r="K287" i="5" s="1"/>
  <c r="N285" i="5"/>
  <c r="N283" i="5" s="1"/>
  <c r="M285" i="5"/>
  <c r="P285" i="5" s="1"/>
  <c r="L285" i="5"/>
  <c r="O285" i="5" s="1"/>
  <c r="P284" i="5"/>
  <c r="O284" i="5"/>
  <c r="N282" i="5"/>
  <c r="M282" i="5"/>
  <c r="L282" i="5"/>
  <c r="L280" i="5" s="1"/>
  <c r="P281" i="5"/>
  <c r="O281" i="5"/>
  <c r="N278" i="5"/>
  <c r="M278" i="5"/>
  <c r="L278" i="5"/>
  <c r="O278" i="5" s="1"/>
  <c r="J276" i="5"/>
  <c r="I271" i="5"/>
  <c r="N269" i="5"/>
  <c r="N267" i="5" s="1"/>
  <c r="M269" i="5"/>
  <c r="M267" i="5" s="1"/>
  <c r="P267" i="5" s="1"/>
  <c r="L269" i="5"/>
  <c r="O269" i="5" s="1"/>
  <c r="P268" i="5"/>
  <c r="O268" i="5"/>
  <c r="N266" i="5"/>
  <c r="M266" i="5"/>
  <c r="M264" i="5" s="1"/>
  <c r="L266" i="5"/>
  <c r="P265" i="5"/>
  <c r="O265" i="5"/>
  <c r="O262" i="5"/>
  <c r="N262" i="5"/>
  <c r="M262" i="5"/>
  <c r="L262" i="5"/>
  <c r="J260" i="5"/>
  <c r="K258" i="5"/>
  <c r="K257" i="5"/>
  <c r="I255" i="5"/>
  <c r="L253" i="5"/>
  <c r="L252" i="5"/>
  <c r="L251" i="5"/>
  <c r="L250" i="5"/>
  <c r="P249" i="5"/>
  <c r="N249" i="5"/>
  <c r="J248" i="5"/>
  <c r="K247" i="5"/>
  <c r="K246" i="5"/>
  <c r="I244" i="5"/>
  <c r="L242" i="5"/>
  <c r="L241" i="5"/>
  <c r="L240" i="5"/>
  <c r="L239" i="5"/>
  <c r="P238" i="5"/>
  <c r="N238" i="5"/>
  <c r="N227" i="5" s="1"/>
  <c r="J237" i="5"/>
  <c r="J226" i="5" s="1"/>
  <c r="J180" i="5" s="1"/>
  <c r="K236" i="5"/>
  <c r="J236" i="5"/>
  <c r="I236" i="5"/>
  <c r="K235" i="5"/>
  <c r="J235" i="5"/>
  <c r="I235" i="5"/>
  <c r="J233" i="5"/>
  <c r="N231" i="5"/>
  <c r="N230" i="5"/>
  <c r="N229" i="5"/>
  <c r="N228" i="5"/>
  <c r="I225" i="5"/>
  <c r="K225" i="5" s="1"/>
  <c r="I224" i="5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P191" i="5"/>
  <c r="L191" i="5"/>
  <c r="O191" i="5" s="1"/>
  <c r="J190" i="5"/>
  <c r="N189" i="5"/>
  <c r="N187" i="5" s="1"/>
  <c r="M189" i="5"/>
  <c r="P189" i="5" s="1"/>
  <c r="L189" i="5"/>
  <c r="O189" i="5" s="1"/>
  <c r="P188" i="5"/>
  <c r="O188" i="5"/>
  <c r="N186" i="5"/>
  <c r="N184" i="5" s="1"/>
  <c r="M186" i="5"/>
  <c r="M184" i="5" s="1"/>
  <c r="L186" i="5"/>
  <c r="P185" i="5"/>
  <c r="O185" i="5"/>
  <c r="P182" i="5"/>
  <c r="O182" i="5"/>
  <c r="N182" i="5"/>
  <c r="M182" i="5"/>
  <c r="L182" i="5"/>
  <c r="J177" i="5"/>
  <c r="I176" i="5"/>
  <c r="K176" i="5" s="1"/>
  <c r="J174" i="5"/>
  <c r="N173" i="5"/>
  <c r="N171" i="5" s="1"/>
  <c r="M173" i="5"/>
  <c r="P173" i="5" s="1"/>
  <c r="L173" i="5"/>
  <c r="O173" i="5" s="1"/>
  <c r="P172" i="5"/>
  <c r="O172" i="5"/>
  <c r="N170" i="5"/>
  <c r="N168" i="5" s="1"/>
  <c r="M170" i="5"/>
  <c r="M168" i="5" s="1"/>
  <c r="L170" i="5"/>
  <c r="L168" i="5" s="1"/>
  <c r="P169" i="5"/>
  <c r="O169" i="5"/>
  <c r="O166" i="5"/>
  <c r="N166" i="5"/>
  <c r="M166" i="5"/>
  <c r="L166" i="5"/>
  <c r="J164" i="5"/>
  <c r="I159" i="5"/>
  <c r="I148" i="5" s="1"/>
  <c r="K148" i="5" s="1"/>
  <c r="N157" i="5"/>
  <c r="N155" i="5" s="1"/>
  <c r="M157" i="5"/>
  <c r="P157" i="5" s="1"/>
  <c r="L157" i="5"/>
  <c r="P156" i="5"/>
  <c r="O156" i="5"/>
  <c r="N154" i="5"/>
  <c r="N152" i="5" s="1"/>
  <c r="M154" i="5"/>
  <c r="P154" i="5" s="1"/>
  <c r="L154" i="5"/>
  <c r="P153" i="5"/>
  <c r="O153" i="5"/>
  <c r="O150" i="5"/>
  <c r="N150" i="5"/>
  <c r="M150" i="5"/>
  <c r="L150" i="5"/>
  <c r="J148" i="5"/>
  <c r="I146" i="5"/>
  <c r="I130" i="5" s="1"/>
  <c r="K130" i="5" s="1"/>
  <c r="I145" i="5"/>
  <c r="I144" i="5"/>
  <c r="K144" i="5" s="1"/>
  <c r="N140" i="5"/>
  <c r="N138" i="5" s="1"/>
  <c r="M140" i="5"/>
  <c r="M138" i="5" s="1"/>
  <c r="P138" i="5" s="1"/>
  <c r="L140" i="5"/>
  <c r="P139" i="5"/>
  <c r="O139" i="5"/>
  <c r="N137" i="5"/>
  <c r="N135" i="5" s="1"/>
  <c r="M137" i="5"/>
  <c r="M135" i="5" s="1"/>
  <c r="P135" i="5" s="1"/>
  <c r="L137" i="5"/>
  <c r="O137" i="5" s="1"/>
  <c r="P136" i="5"/>
  <c r="O136" i="5"/>
  <c r="P133" i="5"/>
  <c r="O133" i="5"/>
  <c r="N133" i="5"/>
  <c r="M133" i="5"/>
  <c r="L133" i="5"/>
  <c r="J130" i="5"/>
  <c r="N127" i="5"/>
  <c r="M127" i="5"/>
  <c r="P127" i="5" s="1"/>
  <c r="L127" i="5"/>
  <c r="P126" i="5"/>
  <c r="O126" i="5"/>
  <c r="N124" i="5"/>
  <c r="N122" i="5" s="1"/>
  <c r="M124" i="5"/>
  <c r="P124" i="5" s="1"/>
  <c r="L124" i="5"/>
  <c r="P123" i="5"/>
  <c r="O123" i="5"/>
  <c r="N120" i="5"/>
  <c r="M120" i="5"/>
  <c r="L120" i="5"/>
  <c r="O120" i="5" s="1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J86" i="5" s="1"/>
  <c r="I98" i="5"/>
  <c r="I86" i="5" s="1"/>
  <c r="K86" i="5" s="1"/>
  <c r="N96" i="5"/>
  <c r="N94" i="5" s="1"/>
  <c r="M96" i="5"/>
  <c r="P96" i="5" s="1"/>
  <c r="L96" i="5"/>
  <c r="O96" i="5" s="1"/>
  <c r="P95" i="5"/>
  <c r="O95" i="5"/>
  <c r="N93" i="5"/>
  <c r="M93" i="5"/>
  <c r="M91" i="5" s="1"/>
  <c r="L93" i="5"/>
  <c r="L91" i="5" s="1"/>
  <c r="P92" i="5"/>
  <c r="O92" i="5"/>
  <c r="O89" i="5"/>
  <c r="N89" i="5"/>
  <c r="M89" i="5"/>
  <c r="L89" i="5"/>
  <c r="J87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K78" i="5" s="1"/>
  <c r="J77" i="5"/>
  <c r="J76" i="5"/>
  <c r="N74" i="5"/>
  <c r="M74" i="5"/>
  <c r="P74" i="5" s="1"/>
  <c r="L74" i="5"/>
  <c r="O74" i="5" s="1"/>
  <c r="P73" i="5"/>
  <c r="O73" i="5"/>
  <c r="N71" i="5"/>
  <c r="M71" i="5"/>
  <c r="L71" i="5"/>
  <c r="L69" i="5" s="1"/>
  <c r="P70" i="5"/>
  <c r="O70" i="5"/>
  <c r="P67" i="5"/>
  <c r="O67" i="5"/>
  <c r="N67" i="5"/>
  <c r="M67" i="5"/>
  <c r="L67" i="5"/>
  <c r="J65" i="5"/>
  <c r="J64" i="5"/>
  <c r="N61" i="5"/>
  <c r="M61" i="5"/>
  <c r="L61" i="5"/>
  <c r="L59" i="5" s="1"/>
  <c r="P60" i="5"/>
  <c r="O60" i="5"/>
  <c r="N58" i="5"/>
  <c r="M58" i="5"/>
  <c r="L58" i="5"/>
  <c r="L56" i="5" s="1"/>
  <c r="P57" i="5"/>
  <c r="O57" i="5"/>
  <c r="O54" i="5"/>
  <c r="N54" i="5"/>
  <c r="M54" i="5"/>
  <c r="P54" i="5" s="1"/>
  <c r="L54" i="5"/>
  <c r="N49" i="5"/>
  <c r="N47" i="5" s="1"/>
  <c r="M49" i="5"/>
  <c r="L49" i="5"/>
  <c r="O49" i="5" s="1"/>
  <c r="P48" i="5"/>
  <c r="O48" i="5"/>
  <c r="N46" i="5"/>
  <c r="M46" i="5"/>
  <c r="M44" i="5" s="1"/>
  <c r="L46" i="5"/>
  <c r="L44" i="5" s="1"/>
  <c r="P45" i="5"/>
  <c r="O45" i="5"/>
  <c r="P42" i="5"/>
  <c r="O42" i="5"/>
  <c r="N42" i="5"/>
  <c r="M42" i="5"/>
  <c r="L42" i="5"/>
  <c r="N36" i="5"/>
  <c r="N30" i="5" s="1"/>
  <c r="M36" i="5"/>
  <c r="P36" i="5" s="1"/>
  <c r="P35" i="5"/>
  <c r="N35" i="5"/>
  <c r="M35" i="5"/>
  <c r="L35" i="5"/>
  <c r="O35" i="5" s="1"/>
  <c r="M34" i="5"/>
  <c r="P34" i="5" s="1"/>
  <c r="N33" i="5"/>
  <c r="O32" i="5"/>
  <c r="N32" i="5"/>
  <c r="M32" i="5"/>
  <c r="M29" i="5" s="1"/>
  <c r="L32" i="5"/>
  <c r="N31" i="5"/>
  <c r="N29" i="5"/>
  <c r="O25" i="5"/>
  <c r="N25" i="5"/>
  <c r="M25" i="5"/>
  <c r="L25" i="5"/>
  <c r="N22" i="5"/>
  <c r="M22" i="5"/>
  <c r="P22" i="5" s="1"/>
  <c r="L22" i="5"/>
  <c r="N19" i="5"/>
  <c r="N15" i="5"/>
  <c r="M15" i="5"/>
  <c r="P15" i="5" s="1"/>
  <c r="N12" i="5"/>
  <c r="N9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N805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O791" i="4" s="1"/>
  <c r="P790" i="4"/>
  <c r="O790" i="4"/>
  <c r="P789" i="4"/>
  <c r="N789" i="4"/>
  <c r="M789" i="4"/>
  <c r="L789" i="4"/>
  <c r="O789" i="4" s="1"/>
  <c r="M788" i="4"/>
  <c r="P787" i="4"/>
  <c r="N787" i="4"/>
  <c r="M787" i="4"/>
  <c r="L787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N690" i="4"/>
  <c r="N688" i="4" s="1"/>
  <c r="L690" i="4"/>
  <c r="M690" i="4" s="1"/>
  <c r="N687" i="4"/>
  <c r="N685" i="4" s="1"/>
  <c r="O686" i="4"/>
  <c r="N686" i="4"/>
  <c r="M686" i="4"/>
  <c r="L686" i="4"/>
  <c r="J679" i="4"/>
  <c r="J678" i="4"/>
  <c r="I678" i="4"/>
  <c r="K678" i="4" s="1"/>
  <c r="J675" i="4"/>
  <c r="J669" i="4" s="1"/>
  <c r="I671" i="4"/>
  <c r="K671" i="4" s="1"/>
  <c r="I670" i="4"/>
  <c r="K670" i="4" s="1"/>
  <c r="I669" i="4"/>
  <c r="K674" i="4" s="1"/>
  <c r="P667" i="4"/>
  <c r="O667" i="4"/>
  <c r="P666" i="4"/>
  <c r="O666" i="4"/>
  <c r="O665" i="4"/>
  <c r="N665" i="4"/>
  <c r="M665" i="4"/>
  <c r="P665" i="4" s="1"/>
  <c r="L665" i="4"/>
  <c r="N664" i="4"/>
  <c r="N660" i="4" s="1"/>
  <c r="L660" i="4"/>
  <c r="M660" i="4" s="1"/>
  <c r="M657" i="4" s="1"/>
  <c r="P659" i="4"/>
  <c r="O659" i="4"/>
  <c r="N658" i="4"/>
  <c r="P656" i="4"/>
  <c r="N656" i="4"/>
  <c r="M656" i="4"/>
  <c r="L656" i="4"/>
  <c r="K652" i="4"/>
  <c r="J652" i="4"/>
  <c r="J651" i="4"/>
  <c r="J628" i="4" s="1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N639" i="4"/>
  <c r="M639" i="4"/>
  <c r="P639" i="4" s="1"/>
  <c r="N637" i="4"/>
  <c r="N634" i="4" s="1"/>
  <c r="L634" i="4"/>
  <c r="L632" i="4" s="1"/>
  <c r="P633" i="4"/>
  <c r="O633" i="4"/>
  <c r="P630" i="4"/>
  <c r="N630" i="4"/>
  <c r="M630" i="4"/>
  <c r="L630" i="4"/>
  <c r="O630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3" i="4" s="1"/>
  <c r="J594" i="4"/>
  <c r="I594" i="4"/>
  <c r="I593" i="4"/>
  <c r="I592" i="4" s="1"/>
  <c r="K592" i="4" s="1"/>
  <c r="J592" i="4"/>
  <c r="J583" i="4"/>
  <c r="J577" i="4" s="1"/>
  <c r="J582" i="4"/>
  <c r="I577" i="4"/>
  <c r="K577" i="4" s="1"/>
  <c r="J576" i="4"/>
  <c r="J559" i="4" s="1"/>
  <c r="J543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L555" i="4" s="1"/>
  <c r="O555" i="4" s="1"/>
  <c r="P556" i="4"/>
  <c r="O556" i="4"/>
  <c r="P555" i="4"/>
  <c r="N555" i="4"/>
  <c r="M555" i="4"/>
  <c r="N553" i="4"/>
  <c r="N552" i="4"/>
  <c r="N549" i="4" s="1"/>
  <c r="L549" i="4"/>
  <c r="L547" i="4" s="1"/>
  <c r="P548" i="4"/>
  <c r="O548" i="4"/>
  <c r="P545" i="4"/>
  <c r="N545" i="4"/>
  <c r="M545" i="4"/>
  <c r="L545" i="4"/>
  <c r="O545" i="4" s="1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K537" i="4" s="1"/>
  <c r="P535" i="4"/>
  <c r="L535" i="4"/>
  <c r="L533" i="4" s="1"/>
  <c r="O533" i="4" s="1"/>
  <c r="P534" i="4"/>
  <c r="O534" i="4"/>
  <c r="N533" i="4"/>
  <c r="M533" i="4"/>
  <c r="P533" i="4" s="1"/>
  <c r="P528" i="4"/>
  <c r="N528" i="4"/>
  <c r="N525" i="4" s="1"/>
  <c r="L528" i="4"/>
  <c r="P527" i="4"/>
  <c r="O527" i="4"/>
  <c r="P526" i="4"/>
  <c r="N526" i="4"/>
  <c r="M526" i="4"/>
  <c r="M525" i="4"/>
  <c r="P525" i="4" s="1"/>
  <c r="P524" i="4"/>
  <c r="N524" i="4"/>
  <c r="N523" i="4" s="1"/>
  <c r="M524" i="4"/>
  <c r="L524" i="4"/>
  <c r="M523" i="4"/>
  <c r="P523" i="4" s="1"/>
  <c r="K517" i="4"/>
  <c r="J517" i="4"/>
  <c r="J501" i="4" s="1"/>
  <c r="K516" i="4"/>
  <c r="P514" i="4"/>
  <c r="O514" i="4"/>
  <c r="P513" i="4"/>
  <c r="O513" i="4"/>
  <c r="N512" i="4"/>
  <c r="M512" i="4"/>
  <c r="P512" i="4" s="1"/>
  <c r="L512" i="4"/>
  <c r="O512" i="4" s="1"/>
  <c r="P507" i="4"/>
  <c r="O507" i="4"/>
  <c r="N507" i="4"/>
  <c r="N504" i="4" s="1"/>
  <c r="P506" i="4"/>
  <c r="O506" i="4"/>
  <c r="P505" i="4"/>
  <c r="N505" i="4"/>
  <c r="M505" i="4"/>
  <c r="L505" i="4"/>
  <c r="O505" i="4" s="1"/>
  <c r="P504" i="4"/>
  <c r="O504" i="4"/>
  <c r="M504" i="4"/>
  <c r="L504" i="4"/>
  <c r="P503" i="4"/>
  <c r="O503" i="4"/>
  <c r="N503" i="4"/>
  <c r="N502" i="4" s="1"/>
  <c r="M503" i="4"/>
  <c r="L503" i="4"/>
  <c r="L502" i="4" s="1"/>
  <c r="O502" i="4"/>
  <c r="M502" i="4"/>
  <c r="P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6" i="4"/>
  <c r="N472" i="4" s="1"/>
  <c r="N469" i="4" s="1"/>
  <c r="L472" i="4"/>
  <c r="M472" i="4" s="1"/>
  <c r="M470" i="4" s="1"/>
  <c r="P471" i="4"/>
  <c r="O471" i="4"/>
  <c r="P468" i="4"/>
  <c r="N468" i="4"/>
  <c r="N467" i="4" s="1"/>
  <c r="M468" i="4"/>
  <c r="L468" i="4"/>
  <c r="J466" i="4"/>
  <c r="I466" i="4"/>
  <c r="K466" i="4" s="1"/>
  <c r="J465" i="4"/>
  <c r="I465" i="4"/>
  <c r="K465" i="4" s="1"/>
  <c r="I464" i="4"/>
  <c r="I463" i="4"/>
  <c r="I462" i="4"/>
  <c r="I443" i="4" s="1"/>
  <c r="K443" i="4" s="1"/>
  <c r="I460" i="4"/>
  <c r="K460" i="4" s="1"/>
  <c r="K458" i="4"/>
  <c r="P456" i="4"/>
  <c r="L456" i="4"/>
  <c r="O456" i="4" s="1"/>
  <c r="P455" i="4"/>
  <c r="O455" i="4"/>
  <c r="P454" i="4"/>
  <c r="N454" i="4"/>
  <c r="M454" i="4"/>
  <c r="P449" i="4"/>
  <c r="N449" i="4"/>
  <c r="L449" i="4"/>
  <c r="L447" i="4" s="1"/>
  <c r="O447" i="4" s="1"/>
  <c r="P448" i="4"/>
  <c r="O448" i="4"/>
  <c r="M447" i="4"/>
  <c r="P447" i="4" s="1"/>
  <c r="M446" i="4"/>
  <c r="P446" i="4" s="1"/>
  <c r="N445" i="4"/>
  <c r="M445" i="4"/>
  <c r="L445" i="4"/>
  <c r="O445" i="4" s="1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I433" i="4" s="1"/>
  <c r="J434" i="4"/>
  <c r="P431" i="4"/>
  <c r="L431" i="4"/>
  <c r="L429" i="4" s="1"/>
  <c r="O429" i="4" s="1"/>
  <c r="P430" i="4"/>
  <c r="O430" i="4"/>
  <c r="P429" i="4"/>
  <c r="N429" i="4"/>
  <c r="M429" i="4"/>
  <c r="N426" i="4"/>
  <c r="N425" i="4"/>
  <c r="L424" i="4"/>
  <c r="L422" i="4" s="1"/>
  <c r="P423" i="4"/>
  <c r="O423" i="4"/>
  <c r="P420" i="4"/>
  <c r="N420" i="4"/>
  <c r="M420" i="4"/>
  <c r="L420" i="4"/>
  <c r="J418" i="4"/>
  <c r="K413" i="4"/>
  <c r="K412" i="4"/>
  <c r="N410" i="4"/>
  <c r="N408" i="4" s="1"/>
  <c r="M410" i="4"/>
  <c r="M408" i="4" s="1"/>
  <c r="P408" i="4" s="1"/>
  <c r="L410" i="4"/>
  <c r="O410" i="4" s="1"/>
  <c r="P409" i="4"/>
  <c r="O409" i="4"/>
  <c r="N407" i="4"/>
  <c r="M407" i="4"/>
  <c r="L407" i="4"/>
  <c r="L405" i="4" s="1"/>
  <c r="O405" i="4" s="1"/>
  <c r="P406" i="4"/>
  <c r="O406" i="4"/>
  <c r="P403" i="4"/>
  <c r="N403" i="4"/>
  <c r="M403" i="4"/>
  <c r="L403" i="4"/>
  <c r="J401" i="4"/>
  <c r="I401" i="4"/>
  <c r="K401" i="4" s="1"/>
  <c r="K400" i="4"/>
  <c r="K399" i="4"/>
  <c r="N397" i="4"/>
  <c r="N395" i="4" s="1"/>
  <c r="M397" i="4"/>
  <c r="P397" i="4" s="1"/>
  <c r="L397" i="4"/>
  <c r="O397" i="4" s="1"/>
  <c r="P396" i="4"/>
  <c r="O396" i="4"/>
  <c r="N394" i="4"/>
  <c r="N392" i="4" s="1"/>
  <c r="M394" i="4"/>
  <c r="M392" i="4" s="1"/>
  <c r="P392" i="4" s="1"/>
  <c r="L394" i="4"/>
  <c r="O394" i="4" s="1"/>
  <c r="P393" i="4"/>
  <c r="O393" i="4"/>
  <c r="P390" i="4"/>
  <c r="O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N348" i="4" s="1"/>
  <c r="M350" i="4"/>
  <c r="M348" i="4" s="1"/>
  <c r="L350" i="4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M334" i="4" s="1"/>
  <c r="P334" i="4" s="1"/>
  <c r="L336" i="4"/>
  <c r="O336" i="4" s="1"/>
  <c r="P335" i="4"/>
  <c r="O335" i="4"/>
  <c r="N333" i="4"/>
  <c r="M333" i="4"/>
  <c r="M331" i="4" s="1"/>
  <c r="L333" i="4"/>
  <c r="L331" i="4" s="1"/>
  <c r="P332" i="4"/>
  <c r="O332" i="4"/>
  <c r="P329" i="4"/>
  <c r="N329" i="4"/>
  <c r="M329" i="4"/>
  <c r="L329" i="4"/>
  <c r="I327" i="4"/>
  <c r="I325" i="4"/>
  <c r="K325" i="4" s="1"/>
  <c r="N323" i="4"/>
  <c r="N321" i="4" s="1"/>
  <c r="M323" i="4"/>
  <c r="P323" i="4" s="1"/>
  <c r="L323" i="4"/>
  <c r="O323" i="4" s="1"/>
  <c r="P322" i="4"/>
  <c r="O322" i="4"/>
  <c r="N320" i="4"/>
  <c r="M320" i="4"/>
  <c r="P320" i="4" s="1"/>
  <c r="L320" i="4"/>
  <c r="O320" i="4" s="1"/>
  <c r="P319" i="4"/>
  <c r="O319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N306" i="4"/>
  <c r="N304" i="4" s="1"/>
  <c r="M306" i="4"/>
  <c r="M304" i="4" s="1"/>
  <c r="P304" i="4" s="1"/>
  <c r="L306" i="4"/>
  <c r="O306" i="4" s="1"/>
  <c r="P305" i="4"/>
  <c r="O305" i="4"/>
  <c r="N303" i="4"/>
  <c r="N301" i="4" s="1"/>
  <c r="M303" i="4"/>
  <c r="M301" i="4" s="1"/>
  <c r="P301" i="4" s="1"/>
  <c r="L303" i="4"/>
  <c r="L301" i="4" s="1"/>
  <c r="O301" i="4" s="1"/>
  <c r="P302" i="4"/>
  <c r="O302" i="4"/>
  <c r="P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J275" i="4" s="1"/>
  <c r="I287" i="4"/>
  <c r="K287" i="4" s="1"/>
  <c r="N285" i="4"/>
  <c r="N283" i="4" s="1"/>
  <c r="M285" i="4"/>
  <c r="P285" i="4" s="1"/>
  <c r="L285" i="4"/>
  <c r="O285" i="4" s="1"/>
  <c r="P284" i="4"/>
  <c r="O284" i="4"/>
  <c r="N282" i="4"/>
  <c r="M282" i="4"/>
  <c r="L282" i="4"/>
  <c r="P281" i="4"/>
  <c r="O281" i="4"/>
  <c r="O278" i="4"/>
  <c r="N278" i="4"/>
  <c r="M278" i="4"/>
  <c r="L278" i="4"/>
  <c r="J276" i="4"/>
  <c r="I271" i="4"/>
  <c r="K271" i="4" s="1"/>
  <c r="N269" i="4"/>
  <c r="N267" i="4" s="1"/>
  <c r="M269" i="4"/>
  <c r="M267" i="4" s="1"/>
  <c r="P267" i="4" s="1"/>
  <c r="L269" i="4"/>
  <c r="O269" i="4" s="1"/>
  <c r="P268" i="4"/>
  <c r="O268" i="4"/>
  <c r="N266" i="4"/>
  <c r="M266" i="4"/>
  <c r="M264" i="4" s="1"/>
  <c r="L266" i="4"/>
  <c r="L264" i="4" s="1"/>
  <c r="P265" i="4"/>
  <c r="O265" i="4"/>
  <c r="P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N227" i="4" s="1"/>
  <c r="J237" i="4"/>
  <c r="J226" i="4" s="1"/>
  <c r="J180" i="4" s="1"/>
  <c r="J236" i="4"/>
  <c r="I236" i="4"/>
  <c r="K236" i="4" s="1"/>
  <c r="K235" i="4"/>
  <c r="J235" i="4"/>
  <c r="I235" i="4"/>
  <c r="J233" i="4"/>
  <c r="N231" i="4"/>
  <c r="N230" i="4"/>
  <c r="N229" i="4"/>
  <c r="N228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O189" i="4" s="1"/>
  <c r="P188" i="4"/>
  <c r="O188" i="4"/>
  <c r="N186" i="4"/>
  <c r="N184" i="4" s="1"/>
  <c r="M186" i="4"/>
  <c r="L186" i="4"/>
  <c r="P185" i="4"/>
  <c r="O185" i="4"/>
  <c r="P182" i="4"/>
  <c r="N182" i="4"/>
  <c r="M182" i="4"/>
  <c r="L182" i="4"/>
  <c r="J177" i="4"/>
  <c r="J164" i="4" s="1"/>
  <c r="I176" i="4"/>
  <c r="I174" i="4" s="1"/>
  <c r="J174" i="4"/>
  <c r="N173" i="4"/>
  <c r="N171" i="4" s="1"/>
  <c r="M173" i="4"/>
  <c r="L173" i="4"/>
  <c r="O173" i="4" s="1"/>
  <c r="P172" i="4"/>
  <c r="O172" i="4"/>
  <c r="N170" i="4"/>
  <c r="M170" i="4"/>
  <c r="L170" i="4"/>
  <c r="P169" i="4"/>
  <c r="O169" i="4"/>
  <c r="P166" i="4"/>
  <c r="N166" i="4"/>
  <c r="M166" i="4"/>
  <c r="L166" i="4"/>
  <c r="I159" i="4"/>
  <c r="K159" i="4" s="1"/>
  <c r="N157" i="4"/>
  <c r="N155" i="4" s="1"/>
  <c r="M157" i="4"/>
  <c r="L157" i="4"/>
  <c r="O157" i="4" s="1"/>
  <c r="P156" i="4"/>
  <c r="O156" i="4"/>
  <c r="N154" i="4"/>
  <c r="N152" i="4" s="1"/>
  <c r="M154" i="4"/>
  <c r="L154" i="4"/>
  <c r="L152" i="4" s="1"/>
  <c r="O152" i="4" s="1"/>
  <c r="P153" i="4"/>
  <c r="O153" i="4"/>
  <c r="P150" i="4"/>
  <c r="N150" i="4"/>
  <c r="M150" i="4"/>
  <c r="L150" i="4"/>
  <c r="J148" i="4"/>
  <c r="I146" i="4"/>
  <c r="K146" i="4" s="1"/>
  <c r="I145" i="4"/>
  <c r="I144" i="4"/>
  <c r="K144" i="4" s="1"/>
  <c r="N140" i="4"/>
  <c r="M140" i="4"/>
  <c r="L140" i="4"/>
  <c r="P139" i="4"/>
  <c r="O139" i="4"/>
  <c r="N137" i="4"/>
  <c r="N135" i="4" s="1"/>
  <c r="M137" i="4"/>
  <c r="P137" i="4" s="1"/>
  <c r="L137" i="4"/>
  <c r="P136" i="4"/>
  <c r="O136" i="4"/>
  <c r="O133" i="4"/>
  <c r="N133" i="4"/>
  <c r="M133" i="4"/>
  <c r="L133" i="4"/>
  <c r="J130" i="4"/>
  <c r="N127" i="4"/>
  <c r="N125" i="4" s="1"/>
  <c r="M127" i="4"/>
  <c r="L127" i="4"/>
  <c r="O127" i="4" s="1"/>
  <c r="P126" i="4"/>
  <c r="O126" i="4"/>
  <c r="N124" i="4"/>
  <c r="N122" i="4" s="1"/>
  <c r="M124" i="4"/>
  <c r="P124" i="4" s="1"/>
  <c r="L124" i="4"/>
  <c r="O124" i="4" s="1"/>
  <c r="P123" i="4"/>
  <c r="O123" i="4"/>
  <c r="P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K99" i="4" s="1"/>
  <c r="J98" i="4"/>
  <c r="I98" i="4"/>
  <c r="I86" i="4" s="1"/>
  <c r="K86" i="4" s="1"/>
  <c r="N96" i="4"/>
  <c r="N94" i="4" s="1"/>
  <c r="M96" i="4"/>
  <c r="M94" i="4" s="1"/>
  <c r="P94" i="4" s="1"/>
  <c r="L96" i="4"/>
  <c r="O96" i="4" s="1"/>
  <c r="P95" i="4"/>
  <c r="O95" i="4"/>
  <c r="N93" i="4"/>
  <c r="M93" i="4"/>
  <c r="M91" i="4" s="1"/>
  <c r="L93" i="4"/>
  <c r="L91" i="4" s="1"/>
  <c r="P92" i="4"/>
  <c r="O92" i="4"/>
  <c r="P89" i="4"/>
  <c r="N89" i="4"/>
  <c r="M89" i="4"/>
  <c r="L89" i="4"/>
  <c r="J86" i="4"/>
  <c r="I84" i="4"/>
  <c r="K84" i="4" s="1"/>
  <c r="I83" i="4"/>
  <c r="K83" i="4" s="1"/>
  <c r="I82" i="4"/>
  <c r="K82" i="4" s="1"/>
  <c r="I81" i="4"/>
  <c r="K81" i="4" s="1"/>
  <c r="I80" i="4"/>
  <c r="I79" i="4"/>
  <c r="K79" i="4" s="1"/>
  <c r="I78" i="4"/>
  <c r="K78" i="4" s="1"/>
  <c r="J77" i="4"/>
  <c r="J65" i="4" s="1"/>
  <c r="J76" i="4"/>
  <c r="J64" i="4" s="1"/>
  <c r="N74" i="4"/>
  <c r="N72" i="4" s="1"/>
  <c r="M74" i="4"/>
  <c r="P74" i="4" s="1"/>
  <c r="L74" i="4"/>
  <c r="P73" i="4"/>
  <c r="O73" i="4"/>
  <c r="N71" i="4"/>
  <c r="N69" i="4" s="1"/>
  <c r="M71" i="4"/>
  <c r="L71" i="4"/>
  <c r="O71" i="4" s="1"/>
  <c r="P70" i="4"/>
  <c r="O70" i="4"/>
  <c r="P67" i="4"/>
  <c r="O67" i="4"/>
  <c r="N67" i="4"/>
  <c r="M67" i="4"/>
  <c r="L67" i="4"/>
  <c r="N61" i="4"/>
  <c r="M61" i="4"/>
  <c r="P61" i="4" s="1"/>
  <c r="L61" i="4"/>
  <c r="O61" i="4" s="1"/>
  <c r="P60" i="4"/>
  <c r="O60" i="4"/>
  <c r="N58" i="4"/>
  <c r="N56" i="4" s="1"/>
  <c r="M58" i="4"/>
  <c r="M56" i="4" s="1"/>
  <c r="L58" i="4"/>
  <c r="P57" i="4"/>
  <c r="O57" i="4"/>
  <c r="N54" i="4"/>
  <c r="M54" i="4"/>
  <c r="L54" i="4"/>
  <c r="O54" i="4" s="1"/>
  <c r="N49" i="4"/>
  <c r="N47" i="4" s="1"/>
  <c r="M49" i="4"/>
  <c r="M47" i="4" s="1"/>
  <c r="P47" i="4" s="1"/>
  <c r="L49" i="4"/>
  <c r="L47" i="4" s="1"/>
  <c r="O47" i="4" s="1"/>
  <c r="P48" i="4"/>
  <c r="O48" i="4"/>
  <c r="N46" i="4"/>
  <c r="N44" i="4" s="1"/>
  <c r="M46" i="4"/>
  <c r="L46" i="4"/>
  <c r="P45" i="4"/>
  <c r="O45" i="4"/>
  <c r="O42" i="4"/>
  <c r="N42" i="4"/>
  <c r="M42" i="4"/>
  <c r="L42" i="4"/>
  <c r="N36" i="4"/>
  <c r="N34" i="4" s="1"/>
  <c r="M36" i="4"/>
  <c r="P36" i="4" s="1"/>
  <c r="O35" i="4"/>
  <c r="N35" i="4"/>
  <c r="M35" i="4"/>
  <c r="L35" i="4"/>
  <c r="L29" i="4" s="1"/>
  <c r="P32" i="4"/>
  <c r="O32" i="4"/>
  <c r="N32" i="4"/>
  <c r="M32" i="4"/>
  <c r="L32" i="4"/>
  <c r="O29" i="4"/>
  <c r="P25" i="4"/>
  <c r="O25" i="4"/>
  <c r="N25" i="4"/>
  <c r="N15" i="4" s="1"/>
  <c r="M25" i="4"/>
  <c r="L25" i="4"/>
  <c r="P22" i="4"/>
  <c r="N22" i="4"/>
  <c r="M22" i="4"/>
  <c r="M12" i="4" s="1"/>
  <c r="L22" i="4"/>
  <c r="O22" i="4" s="1"/>
  <c r="N19" i="4"/>
  <c r="M19" i="4"/>
  <c r="P19" i="4" s="1"/>
  <c r="L12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P809" i="3"/>
  <c r="O809" i="3"/>
  <c r="P808" i="3"/>
  <c r="O808" i="3"/>
  <c r="N808" i="3"/>
  <c r="M808" i="3"/>
  <c r="L808" i="3"/>
  <c r="O807" i="3"/>
  <c r="N807" i="3"/>
  <c r="M807" i="3"/>
  <c r="P807" i="3" s="1"/>
  <c r="L807" i="3"/>
  <c r="N806" i="3"/>
  <c r="M806" i="3"/>
  <c r="L806" i="3"/>
  <c r="O806" i="3" s="1"/>
  <c r="L805" i="3"/>
  <c r="O805" i="3" s="1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L791" i="3"/>
  <c r="L788" i="3" s="1"/>
  <c r="O788" i="3" s="1"/>
  <c r="P790" i="3"/>
  <c r="O790" i="3"/>
  <c r="P789" i="3"/>
  <c r="N789" i="3"/>
  <c r="M789" i="3"/>
  <c r="M788" i="3"/>
  <c r="P788" i="3" s="1"/>
  <c r="N787" i="3"/>
  <c r="N786" i="3" s="1"/>
  <c r="M787" i="3"/>
  <c r="P787" i="3" s="1"/>
  <c r="L787" i="3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P772" i="3"/>
  <c r="O772" i="3"/>
  <c r="N772" i="3"/>
  <c r="M772" i="3"/>
  <c r="L772" i="3"/>
  <c r="O771" i="3"/>
  <c r="N771" i="3"/>
  <c r="M771" i="3"/>
  <c r="L771" i="3"/>
  <c r="N770" i="3"/>
  <c r="L770" i="3"/>
  <c r="O770" i="3" s="1"/>
  <c r="K769" i="3"/>
  <c r="J769" i="3"/>
  <c r="P766" i="3"/>
  <c r="O766" i="3"/>
  <c r="P765" i="3"/>
  <c r="O765" i="3"/>
  <c r="N764" i="3"/>
  <c r="M764" i="3"/>
  <c r="P764" i="3" s="1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P756" i="3"/>
  <c r="O756" i="3"/>
  <c r="N756" i="3"/>
  <c r="M756" i="3"/>
  <c r="L756" i="3"/>
  <c r="O755" i="3"/>
  <c r="N755" i="3"/>
  <c r="M755" i="3"/>
  <c r="P755" i="3" s="1"/>
  <c r="L755" i="3"/>
  <c r="M754" i="3"/>
  <c r="P754" i="3" s="1"/>
  <c r="L754" i="3"/>
  <c r="O754" i="3" s="1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P739" i="3"/>
  <c r="O739" i="3"/>
  <c r="N739" i="3"/>
  <c r="M739" i="3"/>
  <c r="L739" i="3"/>
  <c r="O738" i="3"/>
  <c r="N738" i="3"/>
  <c r="M738" i="3"/>
  <c r="L738" i="3"/>
  <c r="N737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N695" i="3"/>
  <c r="M695" i="3"/>
  <c r="P695" i="3" s="1"/>
  <c r="L695" i="3"/>
  <c r="O695" i="3" s="1"/>
  <c r="N690" i="3"/>
  <c r="L690" i="3"/>
  <c r="N688" i="3"/>
  <c r="N687" i="3"/>
  <c r="O686" i="3"/>
  <c r="N686" i="3"/>
  <c r="M686" i="3"/>
  <c r="P686" i="3" s="1"/>
  <c r="L686" i="3"/>
  <c r="N685" i="3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5" i="3" s="1"/>
  <c r="P667" i="3"/>
  <c r="O667" i="3"/>
  <c r="P666" i="3"/>
  <c r="O666" i="3"/>
  <c r="O665" i="3"/>
  <c r="N665" i="3"/>
  <c r="M665" i="3"/>
  <c r="P665" i="3" s="1"/>
  <c r="L665" i="3"/>
  <c r="P660" i="3"/>
  <c r="N660" i="3"/>
  <c r="N657" i="3" s="1"/>
  <c r="N655" i="3" s="1"/>
  <c r="L660" i="3"/>
  <c r="O660" i="3" s="1"/>
  <c r="P659" i="3"/>
  <c r="O659" i="3"/>
  <c r="M658" i="3"/>
  <c r="P658" i="3" s="1"/>
  <c r="M657" i="3"/>
  <c r="P656" i="3"/>
  <c r="N656" i="3"/>
  <c r="M656" i="3"/>
  <c r="L656" i="3"/>
  <c r="K652" i="3"/>
  <c r="J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P639" i="3"/>
  <c r="N639" i="3"/>
  <c r="M639" i="3"/>
  <c r="N634" i="3"/>
  <c r="L634" i="3"/>
  <c r="P633" i="3"/>
  <c r="O633" i="3"/>
  <c r="N631" i="3"/>
  <c r="O630" i="3"/>
  <c r="N630" i="3"/>
  <c r="N629" i="3" s="1"/>
  <c r="M630" i="3"/>
  <c r="P630" i="3" s="1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J592" i="3" s="1"/>
  <c r="I593" i="3"/>
  <c r="I592" i="3" s="1"/>
  <c r="K592" i="3" s="1"/>
  <c r="J583" i="3"/>
  <c r="J577" i="3" s="1"/>
  <c r="J582" i="3"/>
  <c r="J576" i="3" s="1"/>
  <c r="J559" i="3" s="1"/>
  <c r="I577" i="3"/>
  <c r="I576" i="3"/>
  <c r="J569" i="3"/>
  <c r="I569" i="3"/>
  <c r="K569" i="3" s="1"/>
  <c r="J568" i="3"/>
  <c r="I568" i="3"/>
  <c r="K568" i="3" s="1"/>
  <c r="J561" i="3"/>
  <c r="I561" i="3"/>
  <c r="J560" i="3"/>
  <c r="I560" i="3"/>
  <c r="K560" i="3" s="1"/>
  <c r="P557" i="3"/>
  <c r="L557" i="3"/>
  <c r="P556" i="3"/>
  <c r="O556" i="3"/>
  <c r="N555" i="3"/>
  <c r="N545" i="3" s="1"/>
  <c r="M555" i="3"/>
  <c r="P555" i="3" s="1"/>
  <c r="N549" i="3"/>
  <c r="L549" i="3"/>
  <c r="M549" i="3" s="1"/>
  <c r="M547" i="3" s="1"/>
  <c r="P547" i="3" s="1"/>
  <c r="P548" i="3"/>
  <c r="O548" i="3"/>
  <c r="N547" i="3"/>
  <c r="N546" i="3"/>
  <c r="M545" i="3"/>
  <c r="L545" i="3"/>
  <c r="O545" i="3" s="1"/>
  <c r="J543" i="3"/>
  <c r="I542" i="3"/>
  <c r="K542" i="3" s="1"/>
  <c r="I541" i="3"/>
  <c r="K541" i="3" s="1"/>
  <c r="I540" i="3"/>
  <c r="K540" i="3" s="1"/>
  <c r="I539" i="3"/>
  <c r="K539" i="3" s="1"/>
  <c r="I538" i="3"/>
  <c r="I537" i="3"/>
  <c r="K537" i="3" s="1"/>
  <c r="P535" i="3"/>
  <c r="L535" i="3"/>
  <c r="P534" i="3"/>
  <c r="O534" i="3"/>
  <c r="N533" i="3"/>
  <c r="M533" i="3"/>
  <c r="P533" i="3" s="1"/>
  <c r="P528" i="3"/>
  <c r="N528" i="3"/>
  <c r="L528" i="3"/>
  <c r="P527" i="3"/>
  <c r="O527" i="3"/>
  <c r="N526" i="3"/>
  <c r="M526" i="3"/>
  <c r="P526" i="3" s="1"/>
  <c r="P525" i="3"/>
  <c r="N525" i="3"/>
  <c r="M525" i="3"/>
  <c r="P524" i="3"/>
  <c r="O524" i="3"/>
  <c r="N524" i="3"/>
  <c r="M524" i="3"/>
  <c r="L524" i="3"/>
  <c r="P523" i="3"/>
  <c r="N523" i="3"/>
  <c r="M523" i="3"/>
  <c r="K517" i="3"/>
  <c r="J517" i="3"/>
  <c r="K516" i="3"/>
  <c r="P514" i="3"/>
  <c r="O514" i="3"/>
  <c r="P513" i="3"/>
  <c r="O513" i="3"/>
  <c r="N512" i="3"/>
  <c r="M512" i="3"/>
  <c r="P512" i="3" s="1"/>
  <c r="L512" i="3"/>
  <c r="O512" i="3" s="1"/>
  <c r="P507" i="3"/>
  <c r="O507" i="3"/>
  <c r="N507" i="3"/>
  <c r="N505" i="3" s="1"/>
  <c r="P506" i="3"/>
  <c r="O506" i="3"/>
  <c r="P505" i="3"/>
  <c r="O505" i="3"/>
  <c r="M505" i="3"/>
  <c r="L505" i="3"/>
  <c r="P504" i="3"/>
  <c r="O504" i="3"/>
  <c r="N504" i="3"/>
  <c r="M504" i="3"/>
  <c r="L504" i="3"/>
  <c r="O503" i="3"/>
  <c r="N503" i="3"/>
  <c r="N502" i="3" s="1"/>
  <c r="M503" i="3"/>
  <c r="L503" i="3"/>
  <c r="L502" i="3"/>
  <c r="O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N472" i="3"/>
  <c r="L472" i="3"/>
  <c r="M472" i="3" s="1"/>
  <c r="M470" i="3" s="1"/>
  <c r="P470" i="3" s="1"/>
  <c r="P471" i="3"/>
  <c r="O471" i="3"/>
  <c r="N470" i="3"/>
  <c r="N469" i="3"/>
  <c r="P468" i="3"/>
  <c r="O468" i="3"/>
  <c r="N468" i="3"/>
  <c r="N467" i="3" s="1"/>
  <c r="M468" i="3"/>
  <c r="L468" i="3"/>
  <c r="J466" i="3"/>
  <c r="I466" i="3"/>
  <c r="K466" i="3" s="1"/>
  <c r="J465" i="3"/>
  <c r="I465" i="3"/>
  <c r="K465" i="3" s="1"/>
  <c r="I464" i="3"/>
  <c r="K464" i="3" s="1"/>
  <c r="I463" i="3"/>
  <c r="K463" i="3" s="1"/>
  <c r="I462" i="3"/>
  <c r="I443" i="3" s="1"/>
  <c r="K443" i="3" s="1"/>
  <c r="I460" i="3"/>
  <c r="I442" i="3" s="1"/>
  <c r="K458" i="3"/>
  <c r="P456" i="3"/>
  <c r="L456" i="3"/>
  <c r="O456" i="3" s="1"/>
  <c r="P455" i="3"/>
  <c r="O455" i="3"/>
  <c r="P454" i="3"/>
  <c r="N454" i="3"/>
  <c r="M454" i="3"/>
  <c r="N449" i="3"/>
  <c r="L449" i="3"/>
  <c r="L447" i="3" s="1"/>
  <c r="P448" i="3"/>
  <c r="O448" i="3"/>
  <c r="N445" i="3"/>
  <c r="M445" i="3"/>
  <c r="P445" i="3" s="1"/>
  <c r="L445" i="3"/>
  <c r="O445" i="3" s="1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I433" i="3" s="1"/>
  <c r="J434" i="3"/>
  <c r="P431" i="3"/>
  <c r="L431" i="3"/>
  <c r="O431" i="3" s="1"/>
  <c r="P430" i="3"/>
  <c r="O430" i="3"/>
  <c r="P429" i="3"/>
  <c r="N429" i="3"/>
  <c r="M429" i="3"/>
  <c r="N424" i="3"/>
  <c r="N422" i="3" s="1"/>
  <c r="L424" i="3"/>
  <c r="M424" i="3" s="1"/>
  <c r="P423" i="3"/>
  <c r="O423" i="3"/>
  <c r="N421" i="3"/>
  <c r="O420" i="3"/>
  <c r="N420" i="3"/>
  <c r="M420" i="3"/>
  <c r="P420" i="3" s="1"/>
  <c r="L420" i="3"/>
  <c r="N419" i="3"/>
  <c r="J418" i="3"/>
  <c r="K413" i="3"/>
  <c r="K412" i="3"/>
  <c r="N410" i="3"/>
  <c r="N408" i="3" s="1"/>
  <c r="M410" i="3"/>
  <c r="P410" i="3" s="1"/>
  <c r="L410" i="3"/>
  <c r="P409" i="3"/>
  <c r="O409" i="3"/>
  <c r="N407" i="3"/>
  <c r="N405" i="3" s="1"/>
  <c r="M407" i="3"/>
  <c r="M405" i="3" s="1"/>
  <c r="P405" i="3" s="1"/>
  <c r="L407" i="3"/>
  <c r="P406" i="3"/>
  <c r="O406" i="3"/>
  <c r="N403" i="3"/>
  <c r="M403" i="3"/>
  <c r="L403" i="3"/>
  <c r="K401" i="3"/>
  <c r="J401" i="3"/>
  <c r="I401" i="3"/>
  <c r="K400" i="3"/>
  <c r="K399" i="3"/>
  <c r="N397" i="3"/>
  <c r="N395" i="3" s="1"/>
  <c r="M397" i="3"/>
  <c r="M395" i="3" s="1"/>
  <c r="P395" i="3" s="1"/>
  <c r="L397" i="3"/>
  <c r="L395" i="3" s="1"/>
  <c r="O395" i="3" s="1"/>
  <c r="P396" i="3"/>
  <c r="O396" i="3"/>
  <c r="N394" i="3"/>
  <c r="M394" i="3"/>
  <c r="M392" i="3" s="1"/>
  <c r="P392" i="3" s="1"/>
  <c r="L394" i="3"/>
  <c r="L392" i="3" s="1"/>
  <c r="O392" i="3" s="1"/>
  <c r="P393" i="3"/>
  <c r="O393" i="3"/>
  <c r="O390" i="3"/>
  <c r="N390" i="3"/>
  <c r="M390" i="3"/>
  <c r="P390" i="3" s="1"/>
  <c r="L390" i="3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L351" i="3" s="1"/>
  <c r="P352" i="3"/>
  <c r="O352" i="3"/>
  <c r="N350" i="3"/>
  <c r="N348" i="3" s="1"/>
  <c r="M350" i="3"/>
  <c r="M348" i="3" s="1"/>
  <c r="L350" i="3"/>
  <c r="L348" i="3" s="1"/>
  <c r="P349" i="3"/>
  <c r="O349" i="3"/>
  <c r="O346" i="3"/>
  <c r="N346" i="3"/>
  <c r="M346" i="3"/>
  <c r="P346" i="3" s="1"/>
  <c r="L346" i="3"/>
  <c r="J343" i="3"/>
  <c r="J342" i="3"/>
  <c r="J341" i="3"/>
  <c r="J340" i="3"/>
  <c r="I340" i="3"/>
  <c r="J338" i="3"/>
  <c r="I338" i="3"/>
  <c r="N336" i="3"/>
  <c r="N334" i="3" s="1"/>
  <c r="M336" i="3"/>
  <c r="M334" i="3" s="1"/>
  <c r="P334" i="3" s="1"/>
  <c r="L336" i="3"/>
  <c r="L334" i="3" s="1"/>
  <c r="O334" i="3" s="1"/>
  <c r="P335" i="3"/>
  <c r="O335" i="3"/>
  <c r="N333" i="3"/>
  <c r="M333" i="3"/>
  <c r="M331" i="3" s="1"/>
  <c r="L333" i="3"/>
  <c r="L331" i="3" s="1"/>
  <c r="P332" i="3"/>
  <c r="O332" i="3"/>
  <c r="N329" i="3"/>
  <c r="M329" i="3"/>
  <c r="L329" i="3"/>
  <c r="I327" i="3"/>
  <c r="I325" i="3"/>
  <c r="I314" i="3" s="1"/>
  <c r="K314" i="3" s="1"/>
  <c r="N323" i="3"/>
  <c r="N321" i="3" s="1"/>
  <c r="M323" i="3"/>
  <c r="P323" i="3" s="1"/>
  <c r="L323" i="3"/>
  <c r="O323" i="3" s="1"/>
  <c r="P322" i="3"/>
  <c r="O322" i="3"/>
  <c r="N320" i="3"/>
  <c r="N318" i="3" s="1"/>
  <c r="M320" i="3"/>
  <c r="L320" i="3"/>
  <c r="P319" i="3"/>
  <c r="O319" i="3"/>
  <c r="P316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I297" i="3" s="1"/>
  <c r="N306" i="3"/>
  <c r="N304" i="3" s="1"/>
  <c r="M306" i="3"/>
  <c r="L306" i="3"/>
  <c r="L304" i="3" s="1"/>
  <c r="O304" i="3" s="1"/>
  <c r="P305" i="3"/>
  <c r="O305" i="3"/>
  <c r="N303" i="3"/>
  <c r="M303" i="3"/>
  <c r="M301" i="3" s="1"/>
  <c r="L303" i="3"/>
  <c r="L301" i="3" s="1"/>
  <c r="P302" i="3"/>
  <c r="O302" i="3"/>
  <c r="N299" i="3"/>
  <c r="M299" i="3"/>
  <c r="L299" i="3"/>
  <c r="O299" i="3" s="1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L285" i="3"/>
  <c r="O285" i="3" s="1"/>
  <c r="P284" i="3"/>
  <c r="O284" i="3"/>
  <c r="N282" i="3"/>
  <c r="M282" i="3"/>
  <c r="L282" i="3"/>
  <c r="L280" i="3" s="1"/>
  <c r="P281" i="3"/>
  <c r="O281" i="3"/>
  <c r="P278" i="3"/>
  <c r="O278" i="3"/>
  <c r="N278" i="3"/>
  <c r="M278" i="3"/>
  <c r="L278" i="3"/>
  <c r="J276" i="3"/>
  <c r="I271" i="3"/>
  <c r="N269" i="3"/>
  <c r="N267" i="3" s="1"/>
  <c r="M269" i="3"/>
  <c r="L269" i="3"/>
  <c r="L267" i="3" s="1"/>
  <c r="O267" i="3" s="1"/>
  <c r="P268" i="3"/>
  <c r="O268" i="3"/>
  <c r="N266" i="3"/>
  <c r="N264" i="3" s="1"/>
  <c r="M266" i="3"/>
  <c r="L266" i="3"/>
  <c r="L264" i="3" s="1"/>
  <c r="P265" i="3"/>
  <c r="O265" i="3"/>
  <c r="O262" i="3"/>
  <c r="N262" i="3"/>
  <c r="M262" i="3"/>
  <c r="P262" i="3" s="1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J226" i="3" s="1"/>
  <c r="J180" i="3" s="1"/>
  <c r="K247" i="3"/>
  <c r="K246" i="3"/>
  <c r="I244" i="3"/>
  <c r="L242" i="3"/>
  <c r="L241" i="3"/>
  <c r="L240" i="3"/>
  <c r="L239" i="3"/>
  <c r="P238" i="3"/>
  <c r="N238" i="3"/>
  <c r="J237" i="3"/>
  <c r="J236" i="3"/>
  <c r="I236" i="3"/>
  <c r="K236" i="3" s="1"/>
  <c r="K235" i="3"/>
  <c r="J235" i="3"/>
  <c r="I235" i="3"/>
  <c r="J233" i="3"/>
  <c r="N231" i="3"/>
  <c r="N230" i="3"/>
  <c r="N229" i="3"/>
  <c r="N228" i="3"/>
  <c r="I225" i="3"/>
  <c r="K225" i="3" s="1"/>
  <c r="I224" i="3"/>
  <c r="I223" i="3"/>
  <c r="K223" i="3" s="1"/>
  <c r="L220" i="3"/>
  <c r="L219" i="3"/>
  <c r="L218" i="3"/>
  <c r="P217" i="3"/>
  <c r="N217" i="3"/>
  <c r="J216" i="3"/>
  <c r="I215" i="3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I190" i="3" s="1"/>
  <c r="K190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N184" i="3" s="1"/>
  <c r="M186" i="3"/>
  <c r="L186" i="3"/>
  <c r="P185" i="3"/>
  <c r="O185" i="3"/>
  <c r="P182" i="3"/>
  <c r="O182" i="3"/>
  <c r="N182" i="3"/>
  <c r="M182" i="3"/>
  <c r="L182" i="3"/>
  <c r="J177" i="3"/>
  <c r="J164" i="3" s="1"/>
  <c r="I176" i="3"/>
  <c r="J174" i="3"/>
  <c r="N173" i="3"/>
  <c r="N171" i="3" s="1"/>
  <c r="M173" i="3"/>
  <c r="P173" i="3" s="1"/>
  <c r="L173" i="3"/>
  <c r="O173" i="3" s="1"/>
  <c r="P172" i="3"/>
  <c r="O172" i="3"/>
  <c r="N170" i="3"/>
  <c r="N168" i="3" s="1"/>
  <c r="M170" i="3"/>
  <c r="M168" i="3" s="1"/>
  <c r="L170" i="3"/>
  <c r="L168" i="3" s="1"/>
  <c r="P169" i="3"/>
  <c r="O169" i="3"/>
  <c r="N166" i="3"/>
  <c r="M166" i="3"/>
  <c r="P166" i="3" s="1"/>
  <c r="L166" i="3"/>
  <c r="O166" i="3" s="1"/>
  <c r="I159" i="3"/>
  <c r="K159" i="3" s="1"/>
  <c r="N157" i="3"/>
  <c r="N155" i="3" s="1"/>
  <c r="M157" i="3"/>
  <c r="P157" i="3" s="1"/>
  <c r="L157" i="3"/>
  <c r="L155" i="3" s="1"/>
  <c r="O155" i="3" s="1"/>
  <c r="P156" i="3"/>
  <c r="O156" i="3"/>
  <c r="N154" i="3"/>
  <c r="M154" i="3"/>
  <c r="M152" i="3" s="1"/>
  <c r="P152" i="3" s="1"/>
  <c r="L154" i="3"/>
  <c r="L152" i="3" s="1"/>
  <c r="O152" i="3" s="1"/>
  <c r="P153" i="3"/>
  <c r="O153" i="3"/>
  <c r="N150" i="3"/>
  <c r="M150" i="3"/>
  <c r="L150" i="3"/>
  <c r="O150" i="3" s="1"/>
  <c r="J148" i="3"/>
  <c r="I146" i="3"/>
  <c r="I130" i="3" s="1"/>
  <c r="K130" i="3" s="1"/>
  <c r="I145" i="3"/>
  <c r="I144" i="3"/>
  <c r="K144" i="3" s="1"/>
  <c r="N140" i="3"/>
  <c r="N138" i="3" s="1"/>
  <c r="M140" i="3"/>
  <c r="M138" i="3" s="1"/>
  <c r="P138" i="3" s="1"/>
  <c r="L140" i="3"/>
  <c r="O140" i="3" s="1"/>
  <c r="P139" i="3"/>
  <c r="O139" i="3"/>
  <c r="N137" i="3"/>
  <c r="N135" i="3" s="1"/>
  <c r="M137" i="3"/>
  <c r="P137" i="3" s="1"/>
  <c r="L137" i="3"/>
  <c r="P136" i="3"/>
  <c r="O136" i="3"/>
  <c r="P133" i="3"/>
  <c r="N133" i="3"/>
  <c r="M133" i="3"/>
  <c r="L133" i="3"/>
  <c r="J130" i="3"/>
  <c r="N127" i="3"/>
  <c r="N125" i="3" s="1"/>
  <c r="M127" i="3"/>
  <c r="P127" i="3" s="1"/>
  <c r="L127" i="3"/>
  <c r="L125" i="3" s="1"/>
  <c r="O125" i="3" s="1"/>
  <c r="P126" i="3"/>
  <c r="O126" i="3"/>
  <c r="N124" i="3"/>
  <c r="N122" i="3" s="1"/>
  <c r="M124" i="3"/>
  <c r="L124" i="3"/>
  <c r="L122" i="3" s="1"/>
  <c r="O122" i="3" s="1"/>
  <c r="P123" i="3"/>
  <c r="O123" i="3"/>
  <c r="O120" i="3"/>
  <c r="N120" i="3"/>
  <c r="M120" i="3"/>
  <c r="P120" i="3" s="1"/>
  <c r="L120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J98" i="3"/>
  <c r="J86" i="3" s="1"/>
  <c r="I98" i="3"/>
  <c r="K98" i="3" s="1"/>
  <c r="N96" i="3"/>
  <c r="N94" i="3" s="1"/>
  <c r="M96" i="3"/>
  <c r="P96" i="3" s="1"/>
  <c r="L96" i="3"/>
  <c r="O96" i="3" s="1"/>
  <c r="P95" i="3"/>
  <c r="O95" i="3"/>
  <c r="N93" i="3"/>
  <c r="N91" i="3" s="1"/>
  <c r="M93" i="3"/>
  <c r="M91" i="3" s="1"/>
  <c r="L93" i="3"/>
  <c r="L91" i="3" s="1"/>
  <c r="P92" i="3"/>
  <c r="O92" i="3"/>
  <c r="P89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76" i="3"/>
  <c r="J64" i="3" s="1"/>
  <c r="N74" i="3"/>
  <c r="N72" i="3" s="1"/>
  <c r="M74" i="3"/>
  <c r="P74" i="3" s="1"/>
  <c r="L74" i="3"/>
  <c r="O74" i="3" s="1"/>
  <c r="P73" i="3"/>
  <c r="O73" i="3"/>
  <c r="N71" i="3"/>
  <c r="N69" i="3" s="1"/>
  <c r="M71" i="3"/>
  <c r="M69" i="3" s="1"/>
  <c r="L71" i="3"/>
  <c r="P70" i="3"/>
  <c r="O70" i="3"/>
  <c r="P67" i="3"/>
  <c r="O67" i="3"/>
  <c r="N67" i="3"/>
  <c r="M67" i="3"/>
  <c r="L67" i="3"/>
  <c r="J65" i="3"/>
  <c r="N61" i="3"/>
  <c r="M61" i="3"/>
  <c r="M59" i="3" s="1"/>
  <c r="L61" i="3"/>
  <c r="L59" i="3" s="1"/>
  <c r="P60" i="3"/>
  <c r="O60" i="3"/>
  <c r="N58" i="3"/>
  <c r="M58" i="3"/>
  <c r="M56" i="3" s="1"/>
  <c r="L58" i="3"/>
  <c r="L56" i="3" s="1"/>
  <c r="P57" i="3"/>
  <c r="O57" i="3"/>
  <c r="N54" i="3"/>
  <c r="M54" i="3"/>
  <c r="P54" i="3" s="1"/>
  <c r="L54" i="3"/>
  <c r="N49" i="3"/>
  <c r="N47" i="3" s="1"/>
  <c r="M49" i="3"/>
  <c r="M47" i="3" s="1"/>
  <c r="P47" i="3" s="1"/>
  <c r="L49" i="3"/>
  <c r="O49" i="3" s="1"/>
  <c r="P48" i="3"/>
  <c r="O48" i="3"/>
  <c r="N46" i="3"/>
  <c r="N44" i="3" s="1"/>
  <c r="M46" i="3"/>
  <c r="M44" i="3" s="1"/>
  <c r="L46" i="3"/>
  <c r="P45" i="3"/>
  <c r="O45" i="3"/>
  <c r="P42" i="3"/>
  <c r="N42" i="3"/>
  <c r="M42" i="3"/>
  <c r="L42" i="3"/>
  <c r="O42" i="3" s="1"/>
  <c r="N36" i="3"/>
  <c r="M36" i="3"/>
  <c r="P36" i="3" s="1"/>
  <c r="P35" i="3"/>
  <c r="N35" i="3"/>
  <c r="N34" i="3" s="1"/>
  <c r="M35" i="3"/>
  <c r="L35" i="3"/>
  <c r="N32" i="3"/>
  <c r="M32" i="3"/>
  <c r="P32" i="3" s="1"/>
  <c r="L32" i="3"/>
  <c r="O25" i="3"/>
  <c r="N25" i="3"/>
  <c r="M25" i="3"/>
  <c r="P25" i="3" s="1"/>
  <c r="L25" i="3"/>
  <c r="P22" i="3"/>
  <c r="O22" i="3"/>
  <c r="N22" i="3"/>
  <c r="N12" i="3" s="1"/>
  <c r="M22" i="3"/>
  <c r="L22" i="3"/>
  <c r="O19" i="3"/>
  <c r="N19" i="3"/>
  <c r="M19" i="3"/>
  <c r="P19" i="3" s="1"/>
  <c r="L19" i="3"/>
  <c r="N15" i="3"/>
  <c r="L15" i="3"/>
  <c r="O15" i="3" s="1"/>
  <c r="M12" i="3"/>
  <c r="P12" i="3" s="1"/>
  <c r="L12" i="3"/>
  <c r="O12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N805" i="2" s="1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L789" i="2" s="1"/>
  <c r="O789" i="2" s="1"/>
  <c r="P790" i="2"/>
  <c r="O790" i="2"/>
  <c r="N789" i="2"/>
  <c r="M789" i="2"/>
  <c r="P789" i="2" s="1"/>
  <c r="M788" i="2"/>
  <c r="P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P774" i="2"/>
  <c r="O774" i="2"/>
  <c r="O773" i="2"/>
  <c r="N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P758" i="2"/>
  <c r="O758" i="2"/>
  <c r="O757" i="2"/>
  <c r="N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P741" i="2"/>
  <c r="O741" i="2"/>
  <c r="O740" i="2"/>
  <c r="N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L690" i="2"/>
  <c r="M690" i="2" s="1"/>
  <c r="P690" i="2" s="1"/>
  <c r="N688" i="2"/>
  <c r="N687" i="2"/>
  <c r="N685" i="2" s="1"/>
  <c r="N686" i="2"/>
  <c r="M686" i="2"/>
  <c r="L686" i="2"/>
  <c r="O686" i="2" s="1"/>
  <c r="J679" i="2"/>
  <c r="J678" i="2" s="1"/>
  <c r="I678" i="2"/>
  <c r="K678" i="2" s="1"/>
  <c r="J675" i="2"/>
  <c r="J669" i="2" s="1"/>
  <c r="I671" i="2"/>
  <c r="K671" i="2" s="1"/>
  <c r="I670" i="2"/>
  <c r="K670" i="2" s="1"/>
  <c r="I669" i="2"/>
  <c r="I654" i="2" s="1"/>
  <c r="P667" i="2"/>
  <c r="O667" i="2"/>
  <c r="P666" i="2"/>
  <c r="O666" i="2"/>
  <c r="N665" i="2"/>
  <c r="M665" i="2"/>
  <c r="P665" i="2" s="1"/>
  <c r="L665" i="2"/>
  <c r="O665" i="2" s="1"/>
  <c r="N664" i="2"/>
  <c r="N660" i="2" s="1"/>
  <c r="L660" i="2"/>
  <c r="L658" i="2" s="1"/>
  <c r="P659" i="2"/>
  <c r="O659" i="2"/>
  <c r="P656" i="2"/>
  <c r="N656" i="2"/>
  <c r="M656" i="2"/>
  <c r="L656" i="2"/>
  <c r="J654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8" i="2"/>
  <c r="N634" i="2" s="1"/>
  <c r="L634" i="2"/>
  <c r="M634" i="2" s="1"/>
  <c r="P633" i="2"/>
  <c r="O633" i="2"/>
  <c r="P630" i="2"/>
  <c r="O630" i="2"/>
  <c r="N630" i="2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594" i="2" s="1"/>
  <c r="J603" i="2"/>
  <c r="J596" i="2"/>
  <c r="J595" i="2"/>
  <c r="J593" i="2" s="1"/>
  <c r="J592" i="2" s="1"/>
  <c r="I594" i="2"/>
  <c r="I593" i="2"/>
  <c r="J583" i="2"/>
  <c r="J577" i="2" s="1"/>
  <c r="J582" i="2"/>
  <c r="I577" i="2"/>
  <c r="J576" i="2"/>
  <c r="J559" i="2" s="1"/>
  <c r="J543" i="2" s="1"/>
  <c r="I576" i="2"/>
  <c r="I559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L555" i="2" s="1"/>
  <c r="O555" i="2" s="1"/>
  <c r="P556" i="2"/>
  <c r="O556" i="2"/>
  <c r="P555" i="2"/>
  <c r="N555" i="2"/>
  <c r="M555" i="2"/>
  <c r="N553" i="2"/>
  <c r="N549" i="2"/>
  <c r="N547" i="2" s="1"/>
  <c r="L549" i="2"/>
  <c r="M549" i="2" s="1"/>
  <c r="P548" i="2"/>
  <c r="O548" i="2"/>
  <c r="N546" i="2"/>
  <c r="O545" i="2"/>
  <c r="N545" i="2"/>
  <c r="M545" i="2"/>
  <c r="P545" i="2" s="1"/>
  <c r="L545" i="2"/>
  <c r="N544" i="2"/>
  <c r="I542" i="2"/>
  <c r="K542" i="2" s="1"/>
  <c r="I541" i="2"/>
  <c r="K541" i="2" s="1"/>
  <c r="I540" i="2"/>
  <c r="K540" i="2" s="1"/>
  <c r="I539" i="2"/>
  <c r="K539" i="2" s="1"/>
  <c r="I538" i="2"/>
  <c r="I537" i="2"/>
  <c r="I522" i="2" s="1"/>
  <c r="P535" i="2"/>
  <c r="L535" i="2"/>
  <c r="L533" i="2" s="1"/>
  <c r="O533" i="2" s="1"/>
  <c r="P534" i="2"/>
  <c r="O534" i="2"/>
  <c r="P533" i="2"/>
  <c r="N533" i="2"/>
  <c r="M533" i="2"/>
  <c r="N532" i="2"/>
  <c r="N529" i="2"/>
  <c r="N528" i="2" s="1"/>
  <c r="L528" i="2"/>
  <c r="M528" i="2" s="1"/>
  <c r="P527" i="2"/>
  <c r="O527" i="2"/>
  <c r="P524" i="2"/>
  <c r="O524" i="2"/>
  <c r="N524" i="2"/>
  <c r="M524" i="2"/>
  <c r="L524" i="2"/>
  <c r="K517" i="2"/>
  <c r="J517" i="2"/>
  <c r="J501" i="2" s="1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P505" i="2"/>
  <c r="O505" i="2"/>
  <c r="N505" i="2"/>
  <c r="M505" i="2"/>
  <c r="L505" i="2"/>
  <c r="N504" i="2"/>
  <c r="M504" i="2"/>
  <c r="P504" i="2" s="1"/>
  <c r="L504" i="2"/>
  <c r="O504" i="2" s="1"/>
  <c r="P503" i="2"/>
  <c r="N503" i="2"/>
  <c r="M503" i="2"/>
  <c r="L503" i="2"/>
  <c r="O503" i="2" s="1"/>
  <c r="M502" i="2"/>
  <c r="P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N476" i="2"/>
  <c r="N472" i="2" s="1"/>
  <c r="L472" i="2"/>
  <c r="L470" i="2" s="1"/>
  <c r="P471" i="2"/>
  <c r="O471" i="2"/>
  <c r="O468" i="2"/>
  <c r="N468" i="2"/>
  <c r="M468" i="2"/>
  <c r="P468" i="2" s="1"/>
  <c r="L468" i="2"/>
  <c r="J466" i="2"/>
  <c r="I466" i="2"/>
  <c r="K466" i="2" s="1"/>
  <c r="J465" i="2"/>
  <c r="I465" i="2"/>
  <c r="I464" i="2"/>
  <c r="K464" i="2" s="1"/>
  <c r="I463" i="2"/>
  <c r="K463" i="2" s="1"/>
  <c r="I462" i="2"/>
  <c r="I443" i="2" s="1"/>
  <c r="K443" i="2" s="1"/>
  <c r="I460" i="2"/>
  <c r="I442" i="2" s="1"/>
  <c r="K442" i="2" s="1"/>
  <c r="K458" i="2"/>
  <c r="P456" i="2"/>
  <c r="L456" i="2"/>
  <c r="O456" i="2" s="1"/>
  <c r="P455" i="2"/>
  <c r="O455" i="2"/>
  <c r="N454" i="2"/>
  <c r="M454" i="2"/>
  <c r="P454" i="2" s="1"/>
  <c r="N453" i="2"/>
  <c r="N449" i="2"/>
  <c r="L449" i="2"/>
  <c r="P448" i="2"/>
  <c r="O448" i="2"/>
  <c r="O445" i="2"/>
  <c r="N445" i="2"/>
  <c r="M445" i="2"/>
  <c r="P445" i="2" s="1"/>
  <c r="L445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J434" i="2"/>
  <c r="P431" i="2"/>
  <c r="L431" i="2"/>
  <c r="L429" i="2" s="1"/>
  <c r="O429" i="2" s="1"/>
  <c r="P430" i="2"/>
  <c r="O430" i="2"/>
  <c r="P429" i="2"/>
  <c r="N429" i="2"/>
  <c r="M429" i="2"/>
  <c r="N428" i="2"/>
  <c r="N425" i="2"/>
  <c r="N424" i="2" s="1"/>
  <c r="N421" i="2" s="1"/>
  <c r="N419" i="2" s="1"/>
  <c r="L424" i="2"/>
  <c r="P423" i="2"/>
  <c r="O423" i="2"/>
  <c r="P420" i="2"/>
  <c r="N420" i="2"/>
  <c r="M420" i="2"/>
  <c r="L420" i="2"/>
  <c r="J418" i="2"/>
  <c r="K413" i="2"/>
  <c r="K412" i="2"/>
  <c r="N410" i="2"/>
  <c r="N408" i="2" s="1"/>
  <c r="M410" i="2"/>
  <c r="L410" i="2"/>
  <c r="L408" i="2" s="1"/>
  <c r="O408" i="2" s="1"/>
  <c r="P409" i="2"/>
  <c r="O409" i="2"/>
  <c r="N407" i="2"/>
  <c r="M407" i="2"/>
  <c r="M405" i="2" s="1"/>
  <c r="P405" i="2" s="1"/>
  <c r="L407" i="2"/>
  <c r="L405" i="2" s="1"/>
  <c r="O405" i="2" s="1"/>
  <c r="P406" i="2"/>
  <c r="O406" i="2"/>
  <c r="P403" i="2"/>
  <c r="N403" i="2"/>
  <c r="M403" i="2"/>
  <c r="L403" i="2"/>
  <c r="K401" i="2"/>
  <c r="J401" i="2"/>
  <c r="I401" i="2"/>
  <c r="K400" i="2"/>
  <c r="K399" i="2"/>
  <c r="N397" i="2"/>
  <c r="N395" i="2" s="1"/>
  <c r="M397" i="2"/>
  <c r="P397" i="2" s="1"/>
  <c r="L397" i="2"/>
  <c r="O397" i="2" s="1"/>
  <c r="P396" i="2"/>
  <c r="O396" i="2"/>
  <c r="N394" i="2"/>
  <c r="M394" i="2"/>
  <c r="M392" i="2" s="1"/>
  <c r="P392" i="2" s="1"/>
  <c r="L394" i="2"/>
  <c r="O394" i="2" s="1"/>
  <c r="P393" i="2"/>
  <c r="O393" i="2"/>
  <c r="P390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M350" i="2"/>
  <c r="M348" i="2" s="1"/>
  <c r="L350" i="2"/>
  <c r="L348" i="2" s="1"/>
  <c r="P349" i="2"/>
  <c r="O349" i="2"/>
  <c r="P346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O336" i="2" s="1"/>
  <c r="P335" i="2"/>
  <c r="O335" i="2"/>
  <c r="N333" i="2"/>
  <c r="M333" i="2"/>
  <c r="L333" i="2"/>
  <c r="L331" i="2" s="1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P323" i="2" s="1"/>
  <c r="L323" i="2"/>
  <c r="O323" i="2" s="1"/>
  <c r="P322" i="2"/>
  <c r="O322" i="2"/>
  <c r="N320" i="2"/>
  <c r="M320" i="2"/>
  <c r="M318" i="2" s="1"/>
  <c r="L320" i="2"/>
  <c r="L318" i="2" s="1"/>
  <c r="P319" i="2"/>
  <c r="O319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L306" i="2"/>
  <c r="O306" i="2" s="1"/>
  <c r="P305" i="2"/>
  <c r="O305" i="2"/>
  <c r="N303" i="2"/>
  <c r="M303" i="2"/>
  <c r="L303" i="2"/>
  <c r="O303" i="2" s="1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I287" i="2"/>
  <c r="K287" i="2" s="1"/>
  <c r="N285" i="2"/>
  <c r="N283" i="2" s="1"/>
  <c r="M285" i="2"/>
  <c r="P285" i="2" s="1"/>
  <c r="L285" i="2"/>
  <c r="P284" i="2"/>
  <c r="O284" i="2"/>
  <c r="N282" i="2"/>
  <c r="N280" i="2" s="1"/>
  <c r="M282" i="2"/>
  <c r="M280" i="2" s="1"/>
  <c r="L282" i="2"/>
  <c r="P281" i="2"/>
  <c r="O281" i="2"/>
  <c r="N278" i="2"/>
  <c r="M278" i="2"/>
  <c r="L278" i="2"/>
  <c r="O278" i="2" s="1"/>
  <c r="J276" i="2"/>
  <c r="I271" i="2"/>
  <c r="K271" i="2" s="1"/>
  <c r="N269" i="2"/>
  <c r="N267" i="2" s="1"/>
  <c r="M269" i="2"/>
  <c r="L269" i="2"/>
  <c r="P268" i="2"/>
  <c r="O268" i="2"/>
  <c r="N266" i="2"/>
  <c r="N264" i="2" s="1"/>
  <c r="M266" i="2"/>
  <c r="L266" i="2"/>
  <c r="P265" i="2"/>
  <c r="O265" i="2"/>
  <c r="P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N227" i="2"/>
  <c r="J226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L187" i="2" s="1"/>
  <c r="O187" i="2" s="1"/>
  <c r="P188" i="2"/>
  <c r="O188" i="2"/>
  <c r="N186" i="2"/>
  <c r="N184" i="2" s="1"/>
  <c r="M186" i="2"/>
  <c r="M184" i="2" s="1"/>
  <c r="L186" i="2"/>
  <c r="L184" i="2" s="1"/>
  <c r="P185" i="2"/>
  <c r="O185" i="2"/>
  <c r="P182" i="2"/>
  <c r="O182" i="2"/>
  <c r="N182" i="2"/>
  <c r="M182" i="2"/>
  <c r="L182" i="2"/>
  <c r="J180" i="2"/>
  <c r="J177" i="2"/>
  <c r="I176" i="2"/>
  <c r="I174" i="2" s="1"/>
  <c r="K174" i="2" s="1"/>
  <c r="J174" i="2"/>
  <c r="N173" i="2"/>
  <c r="N171" i="2" s="1"/>
  <c r="M173" i="2"/>
  <c r="L173" i="2"/>
  <c r="L171" i="2" s="1"/>
  <c r="O171" i="2" s="1"/>
  <c r="P172" i="2"/>
  <c r="O172" i="2"/>
  <c r="N170" i="2"/>
  <c r="N168" i="2" s="1"/>
  <c r="M170" i="2"/>
  <c r="L170" i="2"/>
  <c r="P169" i="2"/>
  <c r="O169" i="2"/>
  <c r="P166" i="2"/>
  <c r="O166" i="2"/>
  <c r="N166" i="2"/>
  <c r="M166" i="2"/>
  <c r="L166" i="2"/>
  <c r="J164" i="2"/>
  <c r="I159" i="2"/>
  <c r="K159" i="2" s="1"/>
  <c r="N157" i="2"/>
  <c r="N155" i="2" s="1"/>
  <c r="M157" i="2"/>
  <c r="L157" i="2"/>
  <c r="O157" i="2" s="1"/>
  <c r="P156" i="2"/>
  <c r="O156" i="2"/>
  <c r="N154" i="2"/>
  <c r="N152" i="2" s="1"/>
  <c r="M154" i="2"/>
  <c r="L154" i="2"/>
  <c r="P153" i="2"/>
  <c r="O153" i="2"/>
  <c r="P150" i="2"/>
  <c r="N150" i="2"/>
  <c r="M150" i="2"/>
  <c r="L150" i="2"/>
  <c r="J148" i="2"/>
  <c r="I146" i="2"/>
  <c r="K146" i="2" s="1"/>
  <c r="I145" i="2"/>
  <c r="I144" i="2"/>
  <c r="N140" i="2"/>
  <c r="N138" i="2" s="1"/>
  <c r="M140" i="2"/>
  <c r="M138" i="2" s="1"/>
  <c r="P138" i="2" s="1"/>
  <c r="L140" i="2"/>
  <c r="P139" i="2"/>
  <c r="O139" i="2"/>
  <c r="N137" i="2"/>
  <c r="N135" i="2" s="1"/>
  <c r="M137" i="2"/>
  <c r="M135" i="2" s="1"/>
  <c r="P135" i="2" s="1"/>
  <c r="L137" i="2"/>
  <c r="O137" i="2" s="1"/>
  <c r="P136" i="2"/>
  <c r="O136" i="2"/>
  <c r="O133" i="2"/>
  <c r="N133" i="2"/>
  <c r="M133" i="2"/>
  <c r="L133" i="2"/>
  <c r="J130" i="2"/>
  <c r="N127" i="2"/>
  <c r="N125" i="2" s="1"/>
  <c r="M127" i="2"/>
  <c r="L127" i="2"/>
  <c r="O127" i="2" s="1"/>
  <c r="P126" i="2"/>
  <c r="O126" i="2"/>
  <c r="N124" i="2"/>
  <c r="N122" i="2" s="1"/>
  <c r="M124" i="2"/>
  <c r="L124" i="2"/>
  <c r="O124" i="2" s="1"/>
  <c r="P123" i="2"/>
  <c r="O123" i="2"/>
  <c r="P120" i="2"/>
  <c r="N120" i="2"/>
  <c r="M120" i="2"/>
  <c r="L120" i="2"/>
  <c r="I116" i="2"/>
  <c r="K116" i="2" s="1"/>
  <c r="I115" i="2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I87" i="2" s="1"/>
  <c r="J98" i="2"/>
  <c r="J86" i="2" s="1"/>
  <c r="I98" i="2"/>
  <c r="N96" i="2"/>
  <c r="N94" i="2" s="1"/>
  <c r="M96" i="2"/>
  <c r="P96" i="2" s="1"/>
  <c r="L96" i="2"/>
  <c r="P95" i="2"/>
  <c r="O95" i="2"/>
  <c r="N93" i="2"/>
  <c r="N91" i="2" s="1"/>
  <c r="M93" i="2"/>
  <c r="M91" i="2" s="1"/>
  <c r="L93" i="2"/>
  <c r="P92" i="2"/>
  <c r="O92" i="2"/>
  <c r="P89" i="2"/>
  <c r="O89" i="2"/>
  <c r="N89" i="2"/>
  <c r="M89" i="2"/>
  <c r="L89" i="2"/>
  <c r="J87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65" i="2" s="1"/>
  <c r="J76" i="2"/>
  <c r="N74" i="2"/>
  <c r="N72" i="2" s="1"/>
  <c r="M74" i="2"/>
  <c r="L74" i="2"/>
  <c r="O74" i="2" s="1"/>
  <c r="P73" i="2"/>
  <c r="O73" i="2"/>
  <c r="N71" i="2"/>
  <c r="N69" i="2" s="1"/>
  <c r="M71" i="2"/>
  <c r="M69" i="2" s="1"/>
  <c r="P69" i="2" s="1"/>
  <c r="L71" i="2"/>
  <c r="P70" i="2"/>
  <c r="O70" i="2"/>
  <c r="P67" i="2"/>
  <c r="O67" i="2"/>
  <c r="N67" i="2"/>
  <c r="M67" i="2"/>
  <c r="L67" i="2"/>
  <c r="J64" i="2"/>
  <c r="N61" i="2"/>
  <c r="N59" i="2" s="1"/>
  <c r="M61" i="2"/>
  <c r="P61" i="2" s="1"/>
  <c r="L61" i="2"/>
  <c r="O61" i="2" s="1"/>
  <c r="P60" i="2"/>
  <c r="O60" i="2"/>
  <c r="N58" i="2"/>
  <c r="N56" i="2" s="1"/>
  <c r="M58" i="2"/>
  <c r="M56" i="2" s="1"/>
  <c r="L58" i="2"/>
  <c r="L56" i="2" s="1"/>
  <c r="P57" i="2"/>
  <c r="O57" i="2"/>
  <c r="N54" i="2"/>
  <c r="M54" i="2"/>
  <c r="L54" i="2"/>
  <c r="N49" i="2"/>
  <c r="N47" i="2" s="1"/>
  <c r="M49" i="2"/>
  <c r="M47" i="2" s="1"/>
  <c r="P47" i="2" s="1"/>
  <c r="L49" i="2"/>
  <c r="O49" i="2" s="1"/>
  <c r="P48" i="2"/>
  <c r="O48" i="2"/>
  <c r="N46" i="2"/>
  <c r="M46" i="2"/>
  <c r="M44" i="2" s="1"/>
  <c r="L46" i="2"/>
  <c r="L44" i="2" s="1"/>
  <c r="P45" i="2"/>
  <c r="O45" i="2"/>
  <c r="N42" i="2"/>
  <c r="M42" i="2"/>
  <c r="P42" i="2" s="1"/>
  <c r="L42" i="2"/>
  <c r="N36" i="2"/>
  <c r="M36" i="2"/>
  <c r="P35" i="2"/>
  <c r="N35" i="2"/>
  <c r="M35" i="2"/>
  <c r="L35" i="2"/>
  <c r="N34" i="2"/>
  <c r="N32" i="2"/>
  <c r="M32" i="2"/>
  <c r="L32" i="2"/>
  <c r="O32" i="2" s="1"/>
  <c r="N29" i="2"/>
  <c r="O25" i="2"/>
  <c r="N25" i="2"/>
  <c r="M25" i="2"/>
  <c r="L25" i="2"/>
  <c r="P22" i="2"/>
  <c r="O22" i="2"/>
  <c r="N22" i="2"/>
  <c r="N19" i="2" s="1"/>
  <c r="M22" i="2"/>
  <c r="L22" i="2"/>
  <c r="L19" i="2" s="1"/>
  <c r="M19" i="2"/>
  <c r="P19" i="2" s="1"/>
  <c r="N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O808" i="1"/>
  <c r="N808" i="1"/>
  <c r="M808" i="1"/>
  <c r="P808" i="1" s="1"/>
  <c r="L808" i="1"/>
  <c r="P807" i="1"/>
  <c r="N807" i="1"/>
  <c r="M807" i="1"/>
  <c r="L807" i="1"/>
  <c r="O807" i="1" s="1"/>
  <c r="O806" i="1"/>
  <c r="N806" i="1"/>
  <c r="M806" i="1"/>
  <c r="P806" i="1" s="1"/>
  <c r="L806" i="1"/>
  <c r="L805" i="1" s="1"/>
  <c r="O805" i="1" s="1"/>
  <c r="N805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O796" i="1"/>
  <c r="N796" i="1"/>
  <c r="M796" i="1"/>
  <c r="P796" i="1" s="1"/>
  <c r="L796" i="1"/>
  <c r="N795" i="1"/>
  <c r="N794" i="1"/>
  <c r="N793" i="1"/>
  <c r="N792" i="1"/>
  <c r="M791" i="1"/>
  <c r="M789" i="1" s="1"/>
  <c r="L791" i="1"/>
  <c r="P790" i="1"/>
  <c r="O790" i="1"/>
  <c r="P787" i="1"/>
  <c r="O787" i="1"/>
  <c r="N787" i="1"/>
  <c r="M787" i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N772" i="1" s="1"/>
  <c r="N770" i="1" s="1"/>
  <c r="P774" i="1"/>
  <c r="O774" i="1"/>
  <c r="M773" i="1"/>
  <c r="P773" i="1" s="1"/>
  <c r="L773" i="1"/>
  <c r="O773" i="1" s="1"/>
  <c r="M772" i="1"/>
  <c r="L772" i="1"/>
  <c r="O772" i="1" s="1"/>
  <c r="P771" i="1"/>
  <c r="N771" i="1"/>
  <c r="M771" i="1"/>
  <c r="L771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N756" i="1" s="1"/>
  <c r="N754" i="1" s="1"/>
  <c r="P758" i="1"/>
  <c r="O758" i="1"/>
  <c r="M757" i="1"/>
  <c r="P757" i="1" s="1"/>
  <c r="L757" i="1"/>
  <c r="O757" i="1" s="1"/>
  <c r="M756" i="1"/>
  <c r="L756" i="1"/>
  <c r="O756" i="1" s="1"/>
  <c r="P755" i="1"/>
  <c r="N755" i="1"/>
  <c r="M755" i="1"/>
  <c r="L755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N739" i="1" s="1"/>
  <c r="N737" i="1" s="1"/>
  <c r="P741" i="1"/>
  <c r="O741" i="1"/>
  <c r="M740" i="1"/>
  <c r="P740" i="1" s="1"/>
  <c r="L740" i="1"/>
  <c r="O740" i="1" s="1"/>
  <c r="M739" i="1"/>
  <c r="L739" i="1"/>
  <c r="O739" i="1" s="1"/>
  <c r="P738" i="1"/>
  <c r="N738" i="1"/>
  <c r="M738" i="1"/>
  <c r="L738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M690" i="1"/>
  <c r="M687" i="1" s="1"/>
  <c r="L690" i="1"/>
  <c r="L688" i="1" s="1"/>
  <c r="P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L660" i="1"/>
  <c r="L658" i="1" s="1"/>
  <c r="P659" i="1"/>
  <c r="O659" i="1"/>
  <c r="N656" i="1"/>
  <c r="M656" i="1"/>
  <c r="L656" i="1"/>
  <c r="O656" i="1" s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N639" i="1"/>
  <c r="M639" i="1"/>
  <c r="P639" i="1" s="1"/>
  <c r="N638" i="1"/>
  <c r="N637" i="1"/>
  <c r="N636" i="1"/>
  <c r="N635" i="1"/>
  <c r="M634" i="1"/>
  <c r="L634" i="1"/>
  <c r="L632" i="1" s="1"/>
  <c r="P633" i="1"/>
  <c r="O633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N545" i="1" s="1"/>
  <c r="M555" i="1"/>
  <c r="M545" i="1" s="1"/>
  <c r="N554" i="1"/>
  <c r="N553" i="1"/>
  <c r="N552" i="1"/>
  <c r="N551" i="1"/>
  <c r="N550" i="1"/>
  <c r="M549" i="1"/>
  <c r="L549" i="1"/>
  <c r="L547" i="1" s="1"/>
  <c r="P548" i="1"/>
  <c r="O548" i="1"/>
  <c r="P545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L533" i="1" s="1"/>
  <c r="O533" i="1" s="1"/>
  <c r="P534" i="1"/>
  <c r="O534" i="1"/>
  <c r="N533" i="1"/>
  <c r="M533" i="1"/>
  <c r="P533" i="1" s="1"/>
  <c r="N532" i="1"/>
  <c r="N531" i="1"/>
  <c r="N530" i="1"/>
  <c r="N529" i="1"/>
  <c r="M528" i="1"/>
  <c r="L528" i="1"/>
  <c r="L526" i="1" s="1"/>
  <c r="P527" i="1"/>
  <c r="O527" i="1"/>
  <c r="O524" i="1"/>
  <c r="N524" i="1"/>
  <c r="M524" i="1"/>
  <c r="P524" i="1" s="1"/>
  <c r="L524" i="1"/>
  <c r="K517" i="1"/>
  <c r="J517" i="1"/>
  <c r="J501" i="1" s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N505" i="1" s="1"/>
  <c r="P506" i="1"/>
  <c r="O506" i="1"/>
  <c r="M505" i="1"/>
  <c r="P505" i="1" s="1"/>
  <c r="L505" i="1"/>
  <c r="O505" i="1" s="1"/>
  <c r="M504" i="1"/>
  <c r="P504" i="1" s="1"/>
  <c r="L504" i="1"/>
  <c r="O504" i="1" s="1"/>
  <c r="N503" i="1"/>
  <c r="M503" i="1"/>
  <c r="L503" i="1"/>
  <c r="O503" i="1" s="1"/>
  <c r="L502" i="1"/>
  <c r="O502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N477" i="1"/>
  <c r="M477" i="1"/>
  <c r="P477" i="1" s="1"/>
  <c r="N476" i="1"/>
  <c r="N475" i="1"/>
  <c r="N474" i="1"/>
  <c r="N473" i="1"/>
  <c r="M472" i="1"/>
  <c r="M469" i="1" s="1"/>
  <c r="M467" i="1" s="1"/>
  <c r="L472" i="1"/>
  <c r="P471" i="1"/>
  <c r="O471" i="1"/>
  <c r="P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K458" i="1"/>
  <c r="P456" i="1"/>
  <c r="L456" i="1"/>
  <c r="L454" i="1" s="1"/>
  <c r="O454" i="1" s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L447" i="1" s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P420" i="1"/>
  <c r="O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M408" i="1" s="1"/>
  <c r="P408" i="1" s="1"/>
  <c r="L410" i="1"/>
  <c r="P409" i="1"/>
  <c r="O409" i="1"/>
  <c r="N407" i="1"/>
  <c r="N405" i="1" s="1"/>
  <c r="M407" i="1"/>
  <c r="L407" i="1"/>
  <c r="P406" i="1"/>
  <c r="O406" i="1"/>
  <c r="P403" i="1"/>
  <c r="N403" i="1"/>
  <c r="M403" i="1"/>
  <c r="L403" i="1"/>
  <c r="O403" i="1" s="1"/>
  <c r="J400" i="1"/>
  <c r="J388" i="1" s="1"/>
  <c r="I400" i="1"/>
  <c r="K400" i="1" s="1"/>
  <c r="J399" i="1"/>
  <c r="I399" i="1"/>
  <c r="K399" i="1" s="1"/>
  <c r="N397" i="1"/>
  <c r="M397" i="1"/>
  <c r="P397" i="1" s="1"/>
  <c r="L397" i="1"/>
  <c r="P396" i="1"/>
  <c r="O396" i="1"/>
  <c r="N394" i="1"/>
  <c r="N392" i="1" s="1"/>
  <c r="M394" i="1"/>
  <c r="M392" i="1" s="1"/>
  <c r="P392" i="1" s="1"/>
  <c r="L394" i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N348" i="1" s="1"/>
  <c r="M350" i="1"/>
  <c r="M348" i="1" s="1"/>
  <c r="L350" i="1"/>
  <c r="P349" i="1"/>
  <c r="O349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L336" i="1"/>
  <c r="P335" i="1"/>
  <c r="O335" i="1"/>
  <c r="N333" i="1"/>
  <c r="N331" i="1" s="1"/>
  <c r="M333" i="1"/>
  <c r="L333" i="1"/>
  <c r="P332" i="1"/>
  <c r="O332" i="1"/>
  <c r="N329" i="1"/>
  <c r="M329" i="1"/>
  <c r="L329" i="1"/>
  <c r="I327" i="1"/>
  <c r="J325" i="1"/>
  <c r="J314" i="1" s="1"/>
  <c r="I325" i="1"/>
  <c r="N323" i="1"/>
  <c r="N321" i="1" s="1"/>
  <c r="M323" i="1"/>
  <c r="M321" i="1" s="1"/>
  <c r="P321" i="1" s="1"/>
  <c r="L323" i="1"/>
  <c r="L321" i="1" s="1"/>
  <c r="O321" i="1" s="1"/>
  <c r="P322" i="1"/>
  <c r="O322" i="1"/>
  <c r="N320" i="1"/>
  <c r="N318" i="1" s="1"/>
  <c r="M320" i="1"/>
  <c r="L320" i="1"/>
  <c r="P319" i="1"/>
  <c r="O319" i="1"/>
  <c r="P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L306" i="1"/>
  <c r="O306" i="1" s="1"/>
  <c r="P305" i="1"/>
  <c r="O305" i="1"/>
  <c r="N303" i="1"/>
  <c r="M303" i="1"/>
  <c r="M301" i="1" s="1"/>
  <c r="L303" i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M285" i="1"/>
  <c r="L285" i="1"/>
  <c r="O285" i="1" s="1"/>
  <c r="P284" i="1"/>
  <c r="O284" i="1"/>
  <c r="N282" i="1"/>
  <c r="M282" i="1"/>
  <c r="M280" i="1" s="1"/>
  <c r="L282" i="1"/>
  <c r="P281" i="1"/>
  <c r="O281" i="1"/>
  <c r="O278" i="1"/>
  <c r="N278" i="1"/>
  <c r="M278" i="1"/>
  <c r="L278" i="1"/>
  <c r="J271" i="1"/>
  <c r="J260" i="1" s="1"/>
  <c r="I271" i="1"/>
  <c r="I260" i="1" s="1"/>
  <c r="N269" i="1"/>
  <c r="M269" i="1"/>
  <c r="L269" i="1"/>
  <c r="P268" i="1"/>
  <c r="O268" i="1"/>
  <c r="N266" i="1"/>
  <c r="M266" i="1"/>
  <c r="M264" i="1" s="1"/>
  <c r="L266" i="1"/>
  <c r="L264" i="1" s="1"/>
  <c r="P265" i="1"/>
  <c r="O265" i="1"/>
  <c r="P262" i="1"/>
  <c r="O262" i="1"/>
  <c r="N262" i="1"/>
  <c r="M262" i="1"/>
  <c r="L262" i="1"/>
  <c r="J258" i="1"/>
  <c r="I258" i="1"/>
  <c r="J257" i="1"/>
  <c r="I257" i="1"/>
  <c r="K257" i="1" s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I193" i="1"/>
  <c r="I190" i="1" s="1"/>
  <c r="P191" i="1"/>
  <c r="N191" i="1"/>
  <c r="L191" i="1"/>
  <c r="N189" i="1"/>
  <c r="N187" i="1" s="1"/>
  <c r="M189" i="1"/>
  <c r="L189" i="1"/>
  <c r="O189" i="1" s="1"/>
  <c r="P188" i="1"/>
  <c r="O188" i="1"/>
  <c r="N186" i="1"/>
  <c r="M186" i="1"/>
  <c r="M184" i="1" s="1"/>
  <c r="L186" i="1"/>
  <c r="P185" i="1"/>
  <c r="O185" i="1"/>
  <c r="P182" i="1"/>
  <c r="O182" i="1"/>
  <c r="N182" i="1"/>
  <c r="M182" i="1"/>
  <c r="L182" i="1"/>
  <c r="J177" i="1"/>
  <c r="J176" i="1"/>
  <c r="J174" i="1" s="1"/>
  <c r="I176" i="1"/>
  <c r="N173" i="1"/>
  <c r="N171" i="1" s="1"/>
  <c r="M173" i="1"/>
  <c r="P173" i="1" s="1"/>
  <c r="L173" i="1"/>
  <c r="O173" i="1" s="1"/>
  <c r="P172" i="1"/>
  <c r="O172" i="1"/>
  <c r="N170" i="1"/>
  <c r="M170" i="1"/>
  <c r="M168" i="1" s="1"/>
  <c r="L170" i="1"/>
  <c r="L168" i="1" s="1"/>
  <c r="P169" i="1"/>
  <c r="O169" i="1"/>
  <c r="O166" i="1"/>
  <c r="N166" i="1"/>
  <c r="M166" i="1"/>
  <c r="L166" i="1"/>
  <c r="J159" i="1"/>
  <c r="J148" i="1" s="1"/>
  <c r="I159" i="1"/>
  <c r="N157" i="1"/>
  <c r="N155" i="1" s="1"/>
  <c r="M157" i="1"/>
  <c r="P157" i="1" s="1"/>
  <c r="L157" i="1"/>
  <c r="O157" i="1" s="1"/>
  <c r="P156" i="1"/>
  <c r="O156" i="1"/>
  <c r="N154" i="1"/>
  <c r="N152" i="1" s="1"/>
  <c r="M154" i="1"/>
  <c r="M152" i="1" s="1"/>
  <c r="L154" i="1"/>
  <c r="P153" i="1"/>
  <c r="O153" i="1"/>
  <c r="P150" i="1"/>
  <c r="N150" i="1"/>
  <c r="M150" i="1"/>
  <c r="L150" i="1"/>
  <c r="O150" i="1" s="1"/>
  <c r="J146" i="1"/>
  <c r="J130" i="1" s="1"/>
  <c r="I146" i="1"/>
  <c r="J145" i="1"/>
  <c r="I145" i="1"/>
  <c r="J144" i="1"/>
  <c r="I144" i="1"/>
  <c r="J143" i="1"/>
  <c r="J131" i="1" s="1"/>
  <c r="J142" i="1"/>
  <c r="N140" i="1"/>
  <c r="N138" i="1" s="1"/>
  <c r="M140" i="1"/>
  <c r="L140" i="1"/>
  <c r="L138" i="1" s="1"/>
  <c r="P139" i="1"/>
  <c r="O139" i="1"/>
  <c r="N137" i="1"/>
  <c r="N135" i="1" s="1"/>
  <c r="M137" i="1"/>
  <c r="L137" i="1"/>
  <c r="L135" i="1" s="1"/>
  <c r="P136" i="1"/>
  <c r="O136" i="1"/>
  <c r="N133" i="1"/>
  <c r="M133" i="1"/>
  <c r="P133" i="1" s="1"/>
  <c r="L133" i="1"/>
  <c r="N127" i="1"/>
  <c r="N125" i="1" s="1"/>
  <c r="M127" i="1"/>
  <c r="M125" i="1" s="1"/>
  <c r="L127" i="1"/>
  <c r="P126" i="1"/>
  <c r="O126" i="1"/>
  <c r="N124" i="1"/>
  <c r="M124" i="1"/>
  <c r="L124" i="1"/>
  <c r="L122" i="1" s="1"/>
  <c r="O122" i="1" s="1"/>
  <c r="P123" i="1"/>
  <c r="O123" i="1"/>
  <c r="P120" i="1"/>
  <c r="N120" i="1"/>
  <c r="M120" i="1"/>
  <c r="L120" i="1"/>
  <c r="J118" i="1"/>
  <c r="I118" i="1"/>
  <c r="J116" i="1"/>
  <c r="I116" i="1"/>
  <c r="J115" i="1"/>
  <c r="I115" i="1"/>
  <c r="J114" i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N96" i="1"/>
  <c r="N94" i="1" s="1"/>
  <c r="M96" i="1"/>
  <c r="P96" i="1" s="1"/>
  <c r="L96" i="1"/>
  <c r="L94" i="1" s="1"/>
  <c r="O94" i="1" s="1"/>
  <c r="P95" i="1"/>
  <c r="O95" i="1"/>
  <c r="N93" i="1"/>
  <c r="M93" i="1"/>
  <c r="M91" i="1" s="1"/>
  <c r="L93" i="1"/>
  <c r="L91" i="1" s="1"/>
  <c r="P92" i="1"/>
  <c r="O92" i="1"/>
  <c r="O89" i="1"/>
  <c r="N89" i="1"/>
  <c r="M89" i="1"/>
  <c r="P89" i="1" s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M71" i="1"/>
  <c r="M69" i="1" s="1"/>
  <c r="L71" i="1"/>
  <c r="L69" i="1" s="1"/>
  <c r="P70" i="1"/>
  <c r="O70" i="1"/>
  <c r="O67" i="1"/>
  <c r="N67" i="1"/>
  <c r="M67" i="1"/>
  <c r="P67" i="1" s="1"/>
  <c r="L67" i="1"/>
  <c r="N61" i="1"/>
  <c r="N59" i="1" s="1"/>
  <c r="M61" i="1"/>
  <c r="M59" i="1" s="1"/>
  <c r="L61" i="1"/>
  <c r="P60" i="1"/>
  <c r="O60" i="1"/>
  <c r="N58" i="1"/>
  <c r="N56" i="1" s="1"/>
  <c r="M58" i="1"/>
  <c r="L58" i="1"/>
  <c r="P57" i="1"/>
  <c r="O57" i="1"/>
  <c r="P54" i="1"/>
  <c r="N54" i="1"/>
  <c r="M54" i="1"/>
  <c r="L54" i="1"/>
  <c r="O54" i="1" s="1"/>
  <c r="N49" i="1"/>
  <c r="N47" i="1" s="1"/>
  <c r="M49" i="1"/>
  <c r="L49" i="1"/>
  <c r="P48" i="1"/>
  <c r="O48" i="1"/>
  <c r="N46" i="1"/>
  <c r="M46" i="1"/>
  <c r="P32" i="1" s="1"/>
  <c r="L46" i="1"/>
  <c r="P45" i="1"/>
  <c r="O45" i="1"/>
  <c r="O42" i="1"/>
  <c r="N42" i="1"/>
  <c r="M42" i="1"/>
  <c r="P42" i="1" s="1"/>
  <c r="L42" i="1"/>
  <c r="P36" i="1"/>
  <c r="N36" i="1"/>
  <c r="N34" i="1" s="1"/>
  <c r="M36" i="1"/>
  <c r="O35" i="1"/>
  <c r="N35" i="1"/>
  <c r="M35" i="1"/>
  <c r="M34" i="1" s="1"/>
  <c r="P34" i="1" s="1"/>
  <c r="L35" i="1"/>
  <c r="N32" i="1"/>
  <c r="N29" i="1" s="1"/>
  <c r="M32" i="1"/>
  <c r="L32" i="1"/>
  <c r="O32" i="1" s="1"/>
  <c r="P25" i="1"/>
  <c r="O25" i="1"/>
  <c r="N25" i="1"/>
  <c r="N15" i="1" s="1"/>
  <c r="M25" i="1"/>
  <c r="L25" i="1"/>
  <c r="L15" i="1" s="1"/>
  <c r="O22" i="1"/>
  <c r="N22" i="1"/>
  <c r="M22" i="1"/>
  <c r="M12" i="1" s="1"/>
  <c r="L22" i="1"/>
  <c r="N19" i="1"/>
  <c r="L19" i="1"/>
  <c r="O19" i="1" s="1"/>
  <c r="N12" i="1"/>
  <c r="L429" i="7" l="1"/>
  <c r="O429" i="7" s="1"/>
  <c r="I87" i="14"/>
  <c r="K87" i="14" s="1"/>
  <c r="L477" i="11"/>
  <c r="O477" i="11" s="1"/>
  <c r="L533" i="18"/>
  <c r="O533" i="18" s="1"/>
  <c r="L421" i="10"/>
  <c r="O421" i="10" s="1"/>
  <c r="K801" i="21"/>
  <c r="L330" i="21"/>
  <c r="L328" i="21" s="1"/>
  <c r="K823" i="21"/>
  <c r="K826" i="21"/>
  <c r="L429" i="13"/>
  <c r="O429" i="13" s="1"/>
  <c r="L526" i="17"/>
  <c r="O526" i="17" s="1"/>
  <c r="N279" i="17"/>
  <c r="N277" i="17" s="1"/>
  <c r="L658" i="20"/>
  <c r="O658" i="20" s="1"/>
  <c r="L526" i="8"/>
  <c r="O526" i="8" s="1"/>
  <c r="P46" i="21"/>
  <c r="L477" i="3"/>
  <c r="O477" i="3" s="1"/>
  <c r="P353" i="21"/>
  <c r="K822" i="21"/>
  <c r="K825" i="21"/>
  <c r="L555" i="12"/>
  <c r="O555" i="12" s="1"/>
  <c r="K385" i="20"/>
  <c r="I443" i="13"/>
  <c r="K443" i="13" s="1"/>
  <c r="N121" i="21"/>
  <c r="N119" i="21" s="1"/>
  <c r="L555" i="20"/>
  <c r="O555" i="20" s="1"/>
  <c r="N317" i="20"/>
  <c r="N315" i="20" s="1"/>
  <c r="N347" i="20"/>
  <c r="N345" i="20" s="1"/>
  <c r="M94" i="20"/>
  <c r="P94" i="20" s="1"/>
  <c r="O127" i="20"/>
  <c r="L454" i="15"/>
  <c r="O454" i="15" s="1"/>
  <c r="N330" i="21"/>
  <c r="J785" i="21"/>
  <c r="L555" i="9"/>
  <c r="O555" i="9" s="1"/>
  <c r="N263" i="20"/>
  <c r="N261" i="20" s="1"/>
  <c r="N183" i="21"/>
  <c r="N181" i="21" s="1"/>
  <c r="L229" i="19"/>
  <c r="L317" i="19"/>
  <c r="O317" i="19" s="1"/>
  <c r="L68" i="20"/>
  <c r="L66" i="20" s="1"/>
  <c r="I276" i="20"/>
  <c r="K276" i="20" s="1"/>
  <c r="N167" i="21"/>
  <c r="N165" i="21" s="1"/>
  <c r="K537" i="21"/>
  <c r="L555" i="21"/>
  <c r="O555" i="21" s="1"/>
  <c r="N134" i="20"/>
  <c r="N132" i="20" s="1"/>
  <c r="L231" i="21"/>
  <c r="I297" i="21"/>
  <c r="K297" i="21" s="1"/>
  <c r="M122" i="20"/>
  <c r="P122" i="20" s="1"/>
  <c r="M321" i="20"/>
  <c r="P321" i="20" s="1"/>
  <c r="O269" i="21"/>
  <c r="M279" i="21"/>
  <c r="M277" i="21" s="1"/>
  <c r="L533" i="21"/>
  <c r="O533" i="21" s="1"/>
  <c r="L279" i="21"/>
  <c r="L277" i="21" s="1"/>
  <c r="K822" i="20"/>
  <c r="K825" i="20"/>
  <c r="K828" i="20"/>
  <c r="K146" i="21"/>
  <c r="I260" i="21"/>
  <c r="K260" i="21" s="1"/>
  <c r="L280" i="21"/>
  <c r="O306" i="21"/>
  <c r="M317" i="21"/>
  <c r="P317" i="21" s="1"/>
  <c r="K561" i="21"/>
  <c r="K576" i="21"/>
  <c r="K620" i="21"/>
  <c r="P58" i="20"/>
  <c r="I148" i="21"/>
  <c r="K148" i="21" s="1"/>
  <c r="L230" i="21"/>
  <c r="N300" i="21"/>
  <c r="N298" i="21" s="1"/>
  <c r="K374" i="21"/>
  <c r="M391" i="21"/>
  <c r="P391" i="21" s="1"/>
  <c r="M55" i="20"/>
  <c r="M53" i="20" s="1"/>
  <c r="M59" i="20"/>
  <c r="P59" i="20" s="1"/>
  <c r="L36" i="21"/>
  <c r="O36" i="21" s="1"/>
  <c r="L138" i="20"/>
  <c r="O138" i="20" s="1"/>
  <c r="N90" i="21"/>
  <c r="N88" i="21" s="1"/>
  <c r="M151" i="21"/>
  <c r="P151" i="21" s="1"/>
  <c r="L217" i="21"/>
  <c r="O217" i="21" s="1"/>
  <c r="K360" i="21"/>
  <c r="P69" i="21"/>
  <c r="M44" i="21"/>
  <c r="P44" i="21" s="1"/>
  <c r="N43" i="21"/>
  <c r="N41" i="21" s="1"/>
  <c r="N55" i="21"/>
  <c r="N53" i="21" s="1"/>
  <c r="O71" i="21"/>
  <c r="L134" i="21"/>
  <c r="O134" i="21" s="1"/>
  <c r="M155" i="21"/>
  <c r="P155" i="21" s="1"/>
  <c r="N168" i="21"/>
  <c r="P168" i="21" s="1"/>
  <c r="L300" i="21"/>
  <c r="P303" i="21"/>
  <c r="L321" i="21"/>
  <c r="O321" i="21" s="1"/>
  <c r="O353" i="21"/>
  <c r="K385" i="21"/>
  <c r="K465" i="21"/>
  <c r="K700" i="21"/>
  <c r="L555" i="6"/>
  <c r="O555" i="6" s="1"/>
  <c r="L72" i="20"/>
  <c r="O72" i="20" s="1"/>
  <c r="I112" i="21"/>
  <c r="K112" i="21" s="1"/>
  <c r="L138" i="21"/>
  <c r="O138" i="21" s="1"/>
  <c r="M330" i="21"/>
  <c r="M328" i="21" s="1"/>
  <c r="M151" i="20"/>
  <c r="M149" i="20" s="1"/>
  <c r="L231" i="20"/>
  <c r="M334" i="21"/>
  <c r="P334" i="21" s="1"/>
  <c r="K674" i="21"/>
  <c r="I785" i="21"/>
  <c r="O301" i="21"/>
  <c r="I364" i="20"/>
  <c r="P170" i="21"/>
  <c r="P186" i="21"/>
  <c r="L263" i="21"/>
  <c r="L261" i="21" s="1"/>
  <c r="K647" i="21"/>
  <c r="K340" i="19"/>
  <c r="K577" i="19"/>
  <c r="M72" i="20"/>
  <c r="P72" i="20" s="1"/>
  <c r="K800" i="20"/>
  <c r="M72" i="21"/>
  <c r="P72" i="21" s="1"/>
  <c r="N68" i="21"/>
  <c r="N66" i="21" s="1"/>
  <c r="K204" i="21"/>
  <c r="M263" i="21"/>
  <c r="M261" i="21" s="1"/>
  <c r="P264" i="21"/>
  <c r="M347" i="21"/>
  <c r="M345" i="21" s="1"/>
  <c r="P350" i="21"/>
  <c r="M404" i="21"/>
  <c r="I442" i="21"/>
  <c r="K442" i="21" s="1"/>
  <c r="M472" i="21"/>
  <c r="M469" i="21" s="1"/>
  <c r="M467" i="21" s="1"/>
  <c r="P69" i="19"/>
  <c r="O634" i="19"/>
  <c r="I76" i="20"/>
  <c r="I64" i="20" s="1"/>
  <c r="K64" i="20" s="1"/>
  <c r="O44" i="21"/>
  <c r="N72" i="21"/>
  <c r="O74" i="21"/>
  <c r="J143" i="21"/>
  <c r="J131" i="21" s="1"/>
  <c r="L198" i="21"/>
  <c r="O198" i="21" s="1"/>
  <c r="L229" i="21"/>
  <c r="J327" i="21"/>
  <c r="K327" i="21" s="1"/>
  <c r="N347" i="21"/>
  <c r="N345" i="21" s="1"/>
  <c r="M351" i="21"/>
  <c r="P351" i="21" s="1"/>
  <c r="M405" i="21"/>
  <c r="P405" i="21" s="1"/>
  <c r="P410" i="21"/>
  <c r="L470" i="21"/>
  <c r="O470" i="21" s="1"/>
  <c r="O690" i="21"/>
  <c r="M43" i="21"/>
  <c r="M41" i="21" s="1"/>
  <c r="M68" i="21"/>
  <c r="M66" i="21" s="1"/>
  <c r="O69" i="21"/>
  <c r="O157" i="21"/>
  <c r="L391" i="21"/>
  <c r="O391" i="21" s="1"/>
  <c r="L395" i="21"/>
  <c r="O395" i="21" s="1"/>
  <c r="I443" i="21"/>
  <c r="K443" i="21" s="1"/>
  <c r="O351" i="19"/>
  <c r="P71" i="21"/>
  <c r="O282" i="21"/>
  <c r="M301" i="21"/>
  <c r="P301" i="21" s="1"/>
  <c r="M300" i="21"/>
  <c r="L422" i="21"/>
  <c r="O422" i="21" s="1"/>
  <c r="P186" i="19"/>
  <c r="K378" i="20"/>
  <c r="K381" i="20"/>
  <c r="N134" i="21"/>
  <c r="N132" i="21" s="1"/>
  <c r="L151" i="21"/>
  <c r="L149" i="21" s="1"/>
  <c r="O149" i="21" s="1"/>
  <c r="I314" i="21"/>
  <c r="K314" i="21" s="1"/>
  <c r="L317" i="21"/>
  <c r="O317" i="21" s="1"/>
  <c r="L334" i="21"/>
  <c r="O334" i="21" s="1"/>
  <c r="I364" i="21"/>
  <c r="I276" i="16"/>
  <c r="K276" i="16" s="1"/>
  <c r="N404" i="16"/>
  <c r="N402" i="16" s="1"/>
  <c r="J721" i="17"/>
  <c r="K721" i="17" s="1"/>
  <c r="I260" i="20"/>
  <c r="K260" i="20" s="1"/>
  <c r="K462" i="20"/>
  <c r="K672" i="20"/>
  <c r="K821" i="20"/>
  <c r="K824" i="20"/>
  <c r="K827" i="20"/>
  <c r="M26" i="21"/>
  <c r="M24" i="21" s="1"/>
  <c r="L23" i="21"/>
  <c r="L21" i="21" s="1"/>
  <c r="N91" i="21"/>
  <c r="O91" i="21" s="1"/>
  <c r="M94" i="21"/>
  <c r="P94" i="21" s="1"/>
  <c r="M122" i="21"/>
  <c r="P122" i="21" s="1"/>
  <c r="N138" i="21"/>
  <c r="M167" i="21"/>
  <c r="M165" i="21" s="1"/>
  <c r="M171" i="21"/>
  <c r="P171" i="21" s="1"/>
  <c r="M184" i="21"/>
  <c r="K215" i="21"/>
  <c r="P269" i="21"/>
  <c r="N280" i="21"/>
  <c r="P280" i="21" s="1"/>
  <c r="L283" i="21"/>
  <c r="O283" i="21" s="1"/>
  <c r="L318" i="21"/>
  <c r="O318" i="21" s="1"/>
  <c r="K340" i="21"/>
  <c r="L351" i="21"/>
  <c r="O351" i="21" s="1"/>
  <c r="K378" i="21"/>
  <c r="L392" i="21"/>
  <c r="O392" i="21" s="1"/>
  <c r="I433" i="21"/>
  <c r="I417" i="21" s="1"/>
  <c r="L526" i="21"/>
  <c r="O526" i="21" s="1"/>
  <c r="O549" i="21"/>
  <c r="K569" i="21"/>
  <c r="K699" i="21"/>
  <c r="J721" i="21"/>
  <c r="L228" i="18"/>
  <c r="I148" i="19"/>
  <c r="K148" i="19" s="1"/>
  <c r="L229" i="20"/>
  <c r="M330" i="20"/>
  <c r="M328" i="20" s="1"/>
  <c r="I434" i="20"/>
  <c r="I418" i="20" s="1"/>
  <c r="K418" i="20" s="1"/>
  <c r="L657" i="20"/>
  <c r="O657" i="20" s="1"/>
  <c r="P58" i="21"/>
  <c r="P61" i="21"/>
  <c r="N184" i="21"/>
  <c r="O184" i="21" s="1"/>
  <c r="M187" i="21"/>
  <c r="P187" i="21" s="1"/>
  <c r="N263" i="21"/>
  <c r="N261" i="21" s="1"/>
  <c r="P266" i="21"/>
  <c r="P333" i="21"/>
  <c r="M392" i="21"/>
  <c r="P392" i="21" s="1"/>
  <c r="P394" i="21"/>
  <c r="L421" i="21"/>
  <c r="L419" i="21" s="1"/>
  <c r="O419" i="21" s="1"/>
  <c r="L546" i="21"/>
  <c r="L544" i="21" s="1"/>
  <c r="I592" i="21"/>
  <c r="K592" i="21" s="1"/>
  <c r="L631" i="21"/>
  <c r="O631" i="21" s="1"/>
  <c r="K821" i="21"/>
  <c r="K824" i="21"/>
  <c r="K827" i="21"/>
  <c r="K365" i="20"/>
  <c r="O49" i="21"/>
  <c r="O170" i="21"/>
  <c r="I174" i="21"/>
  <c r="I164" i="21" s="1"/>
  <c r="K164" i="21" s="1"/>
  <c r="L209" i="21"/>
  <c r="O209" i="21" s="1"/>
  <c r="P306" i="21"/>
  <c r="N317" i="21"/>
  <c r="N315" i="21" s="1"/>
  <c r="L547" i="21"/>
  <c r="O547" i="21" s="1"/>
  <c r="N68" i="20"/>
  <c r="K255" i="20"/>
  <c r="I442" i="20"/>
  <c r="K442" i="20" s="1"/>
  <c r="K647" i="20"/>
  <c r="K699" i="20"/>
  <c r="L43" i="21"/>
  <c r="L41" i="21" s="1"/>
  <c r="P49" i="21"/>
  <c r="K98" i="21"/>
  <c r="L249" i="21"/>
  <c r="O249" i="21" s="1"/>
  <c r="O266" i="21"/>
  <c r="O303" i="21"/>
  <c r="O350" i="21"/>
  <c r="K355" i="21"/>
  <c r="K362" i="21"/>
  <c r="M395" i="21"/>
  <c r="P395" i="21" s="1"/>
  <c r="K828" i="21"/>
  <c r="P46" i="20"/>
  <c r="O46" i="21"/>
  <c r="L68" i="21"/>
  <c r="I76" i="21"/>
  <c r="I64" i="21" s="1"/>
  <c r="K64" i="21" s="1"/>
  <c r="P93" i="21"/>
  <c r="N279" i="21"/>
  <c r="N277" i="21" s="1"/>
  <c r="K369" i="21"/>
  <c r="N391" i="21"/>
  <c r="N389" i="21" s="1"/>
  <c r="L404" i="21"/>
  <c r="O410" i="21"/>
  <c r="K577" i="21"/>
  <c r="K649" i="21"/>
  <c r="J722" i="21"/>
  <c r="L639" i="12"/>
  <c r="O639" i="12" s="1"/>
  <c r="P25" i="21"/>
  <c r="M15" i="21"/>
  <c r="O54" i="21"/>
  <c r="N321" i="21"/>
  <c r="N405" i="21"/>
  <c r="N404" i="21"/>
  <c r="N402" i="21" s="1"/>
  <c r="O806" i="21"/>
  <c r="L805" i="21"/>
  <c r="O805" i="21" s="1"/>
  <c r="L279" i="17"/>
  <c r="K699" i="19"/>
  <c r="N56" i="20"/>
  <c r="P56" i="20" s="1"/>
  <c r="L217" i="20"/>
  <c r="O217" i="20" s="1"/>
  <c r="K440" i="20"/>
  <c r="N15" i="21"/>
  <c r="M56" i="21"/>
  <c r="P56" i="21" s="1"/>
  <c r="M152" i="21"/>
  <c r="P152" i="21" s="1"/>
  <c r="P154" i="21"/>
  <c r="O189" i="21"/>
  <c r="L183" i="21"/>
  <c r="L447" i="21"/>
  <c r="O447" i="21" s="1"/>
  <c r="M449" i="21"/>
  <c r="L446" i="21"/>
  <c r="O449" i="21"/>
  <c r="L33" i="21"/>
  <c r="P739" i="21"/>
  <c r="M737" i="21"/>
  <c r="P737" i="21" s="1"/>
  <c r="O524" i="21"/>
  <c r="L317" i="18"/>
  <c r="O317" i="18" s="1"/>
  <c r="M321" i="19"/>
  <c r="P321" i="19" s="1"/>
  <c r="K372" i="19"/>
  <c r="K708" i="19"/>
  <c r="L43" i="20"/>
  <c r="L41" i="20" s="1"/>
  <c r="M68" i="20"/>
  <c r="M66" i="20" s="1"/>
  <c r="O157" i="20"/>
  <c r="L187" i="20"/>
  <c r="O187" i="20" s="1"/>
  <c r="M267" i="20"/>
  <c r="P267" i="20" s="1"/>
  <c r="N279" i="20"/>
  <c r="N277" i="20" s="1"/>
  <c r="L300" i="20"/>
  <c r="L298" i="20" s="1"/>
  <c r="O303" i="20"/>
  <c r="I314" i="20"/>
  <c r="K314" i="20" s="1"/>
  <c r="L321" i="20"/>
  <c r="O321" i="20" s="1"/>
  <c r="L391" i="20"/>
  <c r="O391" i="20" s="1"/>
  <c r="M424" i="20"/>
  <c r="M422" i="20" s="1"/>
  <c r="P422" i="20" s="1"/>
  <c r="L525" i="20"/>
  <c r="L523" i="20" s="1"/>
  <c r="O523" i="20" s="1"/>
  <c r="L639" i="20"/>
  <c r="O639" i="20" s="1"/>
  <c r="N26" i="21"/>
  <c r="N16" i="21" s="1"/>
  <c r="M59" i="21"/>
  <c r="P59" i="21" s="1"/>
  <c r="L125" i="21"/>
  <c r="O125" i="21" s="1"/>
  <c r="O127" i="21"/>
  <c r="M138" i="21"/>
  <c r="P138" i="21" s="1"/>
  <c r="N23" i="21"/>
  <c r="N21" i="21" s="1"/>
  <c r="N151" i="21"/>
  <c r="N149" i="21" s="1"/>
  <c r="L171" i="21"/>
  <c r="O171" i="21" s="1"/>
  <c r="P182" i="21"/>
  <c r="L187" i="21"/>
  <c r="O187" i="21" s="1"/>
  <c r="P278" i="21"/>
  <c r="K338" i="21"/>
  <c r="L59" i="21"/>
  <c r="O59" i="21" s="1"/>
  <c r="L26" i="21"/>
  <c r="O61" i="21"/>
  <c r="P166" i="21"/>
  <c r="M300" i="18"/>
  <c r="P300" i="18" s="1"/>
  <c r="L121" i="20"/>
  <c r="O121" i="20" s="1"/>
  <c r="L279" i="20"/>
  <c r="L277" i="20" s="1"/>
  <c r="O306" i="20"/>
  <c r="L392" i="20"/>
  <c r="O392" i="20" s="1"/>
  <c r="M19" i="21"/>
  <c r="M23" i="21"/>
  <c r="P127" i="21"/>
  <c r="M121" i="21"/>
  <c r="O333" i="21"/>
  <c r="L331" i="21"/>
  <c r="P420" i="21"/>
  <c r="I434" i="21"/>
  <c r="K438" i="21"/>
  <c r="N29" i="21"/>
  <c r="N28" i="21" s="1"/>
  <c r="N31" i="21"/>
  <c r="L122" i="21"/>
  <c r="O122" i="21" s="1"/>
  <c r="O124" i="21"/>
  <c r="L121" i="21"/>
  <c r="L152" i="19"/>
  <c r="O152" i="19" s="1"/>
  <c r="K378" i="19"/>
  <c r="K381" i="19"/>
  <c r="I86" i="20"/>
  <c r="K86" i="20" s="1"/>
  <c r="O336" i="20"/>
  <c r="L395" i="20"/>
  <c r="O395" i="20" s="1"/>
  <c r="K823" i="20"/>
  <c r="K826" i="20"/>
  <c r="P12" i="21"/>
  <c r="M9" i="21"/>
  <c r="N19" i="21"/>
  <c r="L55" i="21"/>
  <c r="O96" i="21"/>
  <c r="L90" i="21"/>
  <c r="I87" i="21"/>
  <c r="K87" i="21" s="1"/>
  <c r="K99" i="21"/>
  <c r="M125" i="21"/>
  <c r="P125" i="21" s="1"/>
  <c r="L238" i="21"/>
  <c r="L228" i="21"/>
  <c r="L55" i="20"/>
  <c r="L53" i="20" s="1"/>
  <c r="O186" i="20"/>
  <c r="K338" i="20"/>
  <c r="P353" i="20"/>
  <c r="K360" i="20"/>
  <c r="K651" i="20"/>
  <c r="N12" i="21"/>
  <c r="P32" i="21"/>
  <c r="M29" i="21"/>
  <c r="M55" i="21"/>
  <c r="L56" i="21"/>
  <c r="O56" i="21" s="1"/>
  <c r="O58" i="21"/>
  <c r="P89" i="21"/>
  <c r="L94" i="21"/>
  <c r="O94" i="21" s="1"/>
  <c r="K111" i="21"/>
  <c r="L135" i="21"/>
  <c r="O135" i="21" s="1"/>
  <c r="P137" i="21"/>
  <c r="M134" i="21"/>
  <c r="O166" i="21"/>
  <c r="M321" i="21"/>
  <c r="P321" i="21" s="1"/>
  <c r="P323" i="21"/>
  <c r="N525" i="21"/>
  <c r="N526" i="21"/>
  <c r="L15" i="21"/>
  <c r="L29" i="21"/>
  <c r="O93" i="21"/>
  <c r="N122" i="21"/>
  <c r="O154" i="21"/>
  <c r="O186" i="21"/>
  <c r="P285" i="21"/>
  <c r="L347" i="21"/>
  <c r="J537" i="21"/>
  <c r="J522" i="21" s="1"/>
  <c r="K539" i="21"/>
  <c r="O738" i="21"/>
  <c r="L737" i="21"/>
  <c r="O737" i="21" s="1"/>
  <c r="N770" i="21"/>
  <c r="M421" i="21"/>
  <c r="P421" i="21" s="1"/>
  <c r="M422" i="21"/>
  <c r="P422" i="21" s="1"/>
  <c r="P424" i="21"/>
  <c r="L477" i="21"/>
  <c r="O477" i="21" s="1"/>
  <c r="L469" i="21"/>
  <c r="O469" i="21" s="1"/>
  <c r="O479" i="21"/>
  <c r="P545" i="21"/>
  <c r="N685" i="21"/>
  <c r="I143" i="21"/>
  <c r="K145" i="21"/>
  <c r="I190" i="21"/>
  <c r="K190" i="21" s="1"/>
  <c r="O264" i="21"/>
  <c r="P282" i="21"/>
  <c r="M318" i="21"/>
  <c r="P318" i="21" s="1"/>
  <c r="P320" i="21"/>
  <c r="K651" i="21"/>
  <c r="I628" i="21"/>
  <c r="K628" i="21" s="1"/>
  <c r="I77" i="21"/>
  <c r="M90" i="21"/>
  <c r="L167" i="21"/>
  <c r="M183" i="21"/>
  <c r="I216" i="21"/>
  <c r="K216" i="21" s="1"/>
  <c r="I233" i="21"/>
  <c r="K233" i="21" s="1"/>
  <c r="K244" i="21"/>
  <c r="I237" i="21"/>
  <c r="K255" i="21"/>
  <c r="I248" i="21"/>
  <c r="K248" i="21" s="1"/>
  <c r="I276" i="21"/>
  <c r="K276" i="21" s="1"/>
  <c r="J288" i="21"/>
  <c r="J275" i="21" s="1"/>
  <c r="K275" i="21" s="1"/>
  <c r="P316" i="21"/>
  <c r="L348" i="21"/>
  <c r="J365" i="21"/>
  <c r="K372" i="21"/>
  <c r="N467" i="21"/>
  <c r="N331" i="21"/>
  <c r="P331" i="21" s="1"/>
  <c r="N348" i="21"/>
  <c r="P348" i="21" s="1"/>
  <c r="K359" i="21"/>
  <c r="K370" i="21"/>
  <c r="P390" i="21"/>
  <c r="O407" i="21"/>
  <c r="J433" i="21"/>
  <c r="J417" i="21" s="1"/>
  <c r="N523" i="21"/>
  <c r="M546" i="21"/>
  <c r="P546" i="21" s="1"/>
  <c r="M547" i="21"/>
  <c r="P547" i="21" s="1"/>
  <c r="P549" i="21"/>
  <c r="P756" i="21"/>
  <c r="M754" i="21"/>
  <c r="P754" i="21" s="1"/>
  <c r="N444" i="21"/>
  <c r="O755" i="21"/>
  <c r="L754" i="21"/>
  <c r="O754" i="21" s="1"/>
  <c r="P525" i="21"/>
  <c r="M523" i="21"/>
  <c r="P523" i="21" s="1"/>
  <c r="N546" i="21"/>
  <c r="N547" i="21"/>
  <c r="L658" i="21"/>
  <c r="O658" i="21" s="1"/>
  <c r="O660" i="21"/>
  <c r="M660" i="21"/>
  <c r="P772" i="21"/>
  <c r="M770" i="21"/>
  <c r="P770" i="21" s="1"/>
  <c r="L789" i="21"/>
  <c r="O789" i="21" s="1"/>
  <c r="O791" i="21"/>
  <c r="M791" i="21"/>
  <c r="K379" i="21"/>
  <c r="K381" i="21"/>
  <c r="O468" i="21"/>
  <c r="K559" i="21"/>
  <c r="I543" i="21"/>
  <c r="K543" i="21" s="1"/>
  <c r="L657" i="21"/>
  <c r="O686" i="21"/>
  <c r="L685" i="21"/>
  <c r="O685" i="21" s="1"/>
  <c r="O687" i="21"/>
  <c r="N754" i="21"/>
  <c r="O771" i="21"/>
  <c r="L770" i="21"/>
  <c r="O770" i="21" s="1"/>
  <c r="L788" i="21"/>
  <c r="P807" i="21"/>
  <c r="M805" i="21"/>
  <c r="P805" i="21" s="1"/>
  <c r="O424" i="21"/>
  <c r="O545" i="21"/>
  <c r="P555" i="21"/>
  <c r="P630" i="21"/>
  <c r="L632" i="21"/>
  <c r="O632" i="21" s="1"/>
  <c r="K675" i="21"/>
  <c r="L502" i="21"/>
  <c r="O502" i="21" s="1"/>
  <c r="M634" i="21"/>
  <c r="K672" i="21"/>
  <c r="L688" i="21"/>
  <c r="O688" i="21" s="1"/>
  <c r="M690" i="21"/>
  <c r="L525" i="21"/>
  <c r="O525" i="21" s="1"/>
  <c r="I654" i="21"/>
  <c r="K654" i="21" s="1"/>
  <c r="K669" i="21"/>
  <c r="K193" i="18"/>
  <c r="K338" i="19"/>
  <c r="L36" i="20"/>
  <c r="O36" i="20" s="1"/>
  <c r="N72" i="20"/>
  <c r="L134" i="20"/>
  <c r="O134" i="20" s="1"/>
  <c r="K244" i="20"/>
  <c r="J288" i="20"/>
  <c r="J275" i="20" s="1"/>
  <c r="K275" i="20" s="1"/>
  <c r="P397" i="20"/>
  <c r="O456" i="20"/>
  <c r="J537" i="20"/>
  <c r="J522" i="20" s="1"/>
  <c r="M26" i="20"/>
  <c r="M24" i="20" s="1"/>
  <c r="L94" i="20"/>
  <c r="O94" i="20" s="1"/>
  <c r="K99" i="20"/>
  <c r="L135" i="20"/>
  <c r="O135" i="20" s="1"/>
  <c r="M152" i="20"/>
  <c r="L184" i="20"/>
  <c r="O184" i="20" s="1"/>
  <c r="I233" i="20"/>
  <c r="K233" i="20" s="1"/>
  <c r="L631" i="20"/>
  <c r="L629" i="20" s="1"/>
  <c r="O629" i="20" s="1"/>
  <c r="I785" i="18"/>
  <c r="K360" i="19"/>
  <c r="O333" i="20"/>
  <c r="O350" i="20"/>
  <c r="O353" i="20"/>
  <c r="M404" i="20"/>
  <c r="P404" i="20" s="1"/>
  <c r="L546" i="20"/>
  <c r="O546" i="20" s="1"/>
  <c r="L632" i="20"/>
  <c r="O632" i="20" s="1"/>
  <c r="M690" i="20"/>
  <c r="M687" i="20" s="1"/>
  <c r="P687" i="20" s="1"/>
  <c r="K720" i="20"/>
  <c r="M44" i="20"/>
  <c r="L69" i="20"/>
  <c r="O69" i="20" s="1"/>
  <c r="P71" i="20"/>
  <c r="M138" i="20"/>
  <c r="P138" i="20" s="1"/>
  <c r="M187" i="20"/>
  <c r="P187" i="20" s="1"/>
  <c r="L230" i="20"/>
  <c r="L405" i="20"/>
  <c r="O405" i="20" s="1"/>
  <c r="O410" i="20"/>
  <c r="P46" i="18"/>
  <c r="L138" i="19"/>
  <c r="O138" i="19" s="1"/>
  <c r="K379" i="19"/>
  <c r="K828" i="19"/>
  <c r="N121" i="20"/>
  <c r="N119" i="20" s="1"/>
  <c r="M121" i="20"/>
  <c r="P121" i="20" s="1"/>
  <c r="P170" i="20"/>
  <c r="L238" i="20"/>
  <c r="O238" i="20" s="1"/>
  <c r="N391" i="20"/>
  <c r="N389" i="20" s="1"/>
  <c r="L547" i="20"/>
  <c r="O547" i="20" s="1"/>
  <c r="K725" i="20"/>
  <c r="N135" i="20"/>
  <c r="J722" i="11"/>
  <c r="L391" i="18"/>
  <c r="O391" i="18" s="1"/>
  <c r="L632" i="19"/>
  <c r="O632" i="19" s="1"/>
  <c r="J721" i="19"/>
  <c r="N26" i="20"/>
  <c r="N16" i="20" s="1"/>
  <c r="N14" i="20" s="1"/>
  <c r="L33" i="20"/>
  <c r="M43" i="20"/>
  <c r="M41" i="20" s="1"/>
  <c r="P49" i="20"/>
  <c r="O61" i="20"/>
  <c r="I112" i="20"/>
  <c r="K112" i="20" s="1"/>
  <c r="N122" i="20"/>
  <c r="N183" i="20"/>
  <c r="N181" i="20" s="1"/>
  <c r="N264" i="20"/>
  <c r="O264" i="20" s="1"/>
  <c r="N318" i="20"/>
  <c r="N330" i="20"/>
  <c r="N328" i="20" s="1"/>
  <c r="N348" i="20"/>
  <c r="O348" i="20" s="1"/>
  <c r="K370" i="20"/>
  <c r="K374" i="20"/>
  <c r="N404" i="20"/>
  <c r="N402" i="20" s="1"/>
  <c r="M449" i="20"/>
  <c r="M447" i="20" s="1"/>
  <c r="L469" i="20"/>
  <c r="K539" i="20"/>
  <c r="K560" i="20"/>
  <c r="I628" i="20"/>
  <c r="K628" i="20" s="1"/>
  <c r="L688" i="20"/>
  <c r="O688" i="20" s="1"/>
  <c r="J722" i="20"/>
  <c r="K722" i="20" s="1"/>
  <c r="L788" i="20"/>
  <c r="O788" i="20" s="1"/>
  <c r="L228" i="13"/>
  <c r="I276" i="19"/>
  <c r="K276" i="19" s="1"/>
  <c r="K647" i="19"/>
  <c r="K824" i="19"/>
  <c r="K827" i="19"/>
  <c r="O46" i="20"/>
  <c r="O91" i="20"/>
  <c r="O168" i="20"/>
  <c r="L198" i="20"/>
  <c r="O198" i="20" s="1"/>
  <c r="M279" i="20"/>
  <c r="L351" i="20"/>
  <c r="O351" i="20" s="1"/>
  <c r="K359" i="20"/>
  <c r="K379" i="20"/>
  <c r="O449" i="20"/>
  <c r="O472" i="20"/>
  <c r="K649" i="20"/>
  <c r="K723" i="20"/>
  <c r="M155" i="20"/>
  <c r="P155" i="20" s="1"/>
  <c r="L688" i="11"/>
  <c r="O688" i="11" s="1"/>
  <c r="M90" i="18"/>
  <c r="M88" i="18" s="1"/>
  <c r="L408" i="19"/>
  <c r="O408" i="19" s="1"/>
  <c r="L26" i="20"/>
  <c r="O58" i="20"/>
  <c r="P91" i="20"/>
  <c r="L249" i="20"/>
  <c r="O249" i="20" s="1"/>
  <c r="L347" i="20"/>
  <c r="J721" i="20"/>
  <c r="K721" i="20" s="1"/>
  <c r="L249" i="19"/>
  <c r="O249" i="19" s="1"/>
  <c r="L395" i="19"/>
  <c r="O395" i="19" s="1"/>
  <c r="L47" i="20"/>
  <c r="O47" i="20" s="1"/>
  <c r="M69" i="20"/>
  <c r="P69" i="20" s="1"/>
  <c r="M168" i="20"/>
  <c r="P168" i="20" s="1"/>
  <c r="N167" i="20"/>
  <c r="N165" i="20" s="1"/>
  <c r="O266" i="20"/>
  <c r="N280" i="20"/>
  <c r="O280" i="20" s="1"/>
  <c r="M283" i="20"/>
  <c r="P283" i="20" s="1"/>
  <c r="N331" i="20"/>
  <c r="O331" i="20" s="1"/>
  <c r="N151" i="19"/>
  <c r="N149" i="19" s="1"/>
  <c r="P333" i="19"/>
  <c r="L687" i="19"/>
  <c r="O687" i="19" s="1"/>
  <c r="O71" i="20"/>
  <c r="I148" i="20"/>
  <c r="K148" i="20" s="1"/>
  <c r="M171" i="20"/>
  <c r="P171" i="20" s="1"/>
  <c r="L263" i="20"/>
  <c r="L261" i="20" s="1"/>
  <c r="P266" i="20"/>
  <c r="N301" i="20"/>
  <c r="O301" i="20" s="1"/>
  <c r="L330" i="20"/>
  <c r="K340" i="20"/>
  <c r="K369" i="20"/>
  <c r="K372" i="20"/>
  <c r="M391" i="20"/>
  <c r="P394" i="20"/>
  <c r="L404" i="20"/>
  <c r="I433" i="20"/>
  <c r="I417" i="20" s="1"/>
  <c r="K568" i="20"/>
  <c r="I654" i="20"/>
  <c r="K654" i="20" s="1"/>
  <c r="K700" i="20"/>
  <c r="P12" i="20"/>
  <c r="O12" i="20"/>
  <c r="L9" i="20"/>
  <c r="K700" i="18"/>
  <c r="L59" i="19"/>
  <c r="O59" i="19" s="1"/>
  <c r="P61" i="19"/>
  <c r="L68" i="19"/>
  <c r="L66" i="19" s="1"/>
  <c r="I164" i="19"/>
  <c r="K164" i="19" s="1"/>
  <c r="M184" i="19"/>
  <c r="P184" i="19" s="1"/>
  <c r="L231" i="19"/>
  <c r="L263" i="19"/>
  <c r="L261" i="19" s="1"/>
  <c r="J364" i="19"/>
  <c r="L446" i="19"/>
  <c r="L444" i="19" s="1"/>
  <c r="O444" i="19" s="1"/>
  <c r="M23" i="20"/>
  <c r="M21" i="20" s="1"/>
  <c r="P25" i="20"/>
  <c r="M15" i="20"/>
  <c r="N31" i="20"/>
  <c r="N43" i="20"/>
  <c r="N41" i="20" s="1"/>
  <c r="P137" i="20"/>
  <c r="M134" i="20"/>
  <c r="N121" i="19"/>
  <c r="N119" i="19" s="1"/>
  <c r="L122" i="20"/>
  <c r="O122" i="20" s="1"/>
  <c r="O124" i="20"/>
  <c r="K193" i="20"/>
  <c r="I190" i="20"/>
  <c r="K190" i="20" s="1"/>
  <c r="M279" i="17"/>
  <c r="P282" i="17"/>
  <c r="N90" i="18"/>
  <c r="P44" i="19"/>
  <c r="I130" i="19"/>
  <c r="K130" i="19" s="1"/>
  <c r="L279" i="19"/>
  <c r="L277" i="19" s="1"/>
  <c r="O277" i="19" s="1"/>
  <c r="L318" i="19"/>
  <c r="O318" i="19" s="1"/>
  <c r="M405" i="19"/>
  <c r="P405" i="19" s="1"/>
  <c r="L429" i="19"/>
  <c r="O429" i="19" s="1"/>
  <c r="J722" i="19"/>
  <c r="P32" i="20"/>
  <c r="M29" i="20"/>
  <c r="M34" i="20"/>
  <c r="P34" i="20" s="1"/>
  <c r="O93" i="20"/>
  <c r="L90" i="20"/>
  <c r="P166" i="20"/>
  <c r="L171" i="20"/>
  <c r="O171" i="20" s="1"/>
  <c r="K594" i="18"/>
  <c r="M135" i="19"/>
  <c r="P135" i="19" s="1"/>
  <c r="L217" i="19"/>
  <c r="O217" i="19" s="1"/>
  <c r="L238" i="19"/>
  <c r="O238" i="19" s="1"/>
  <c r="M279" i="19"/>
  <c r="P279" i="19" s="1"/>
  <c r="M283" i="19"/>
  <c r="P283" i="19" s="1"/>
  <c r="M318" i="19"/>
  <c r="P318" i="19" s="1"/>
  <c r="K823" i="19"/>
  <c r="N19" i="20"/>
  <c r="N55" i="20"/>
  <c r="P93" i="20"/>
  <c r="M90" i="20"/>
  <c r="M88" i="20" s="1"/>
  <c r="O154" i="20"/>
  <c r="N151" i="20"/>
  <c r="N149" i="20" s="1"/>
  <c r="N152" i="20"/>
  <c r="M134" i="19"/>
  <c r="M132" i="19" s="1"/>
  <c r="P132" i="19" s="1"/>
  <c r="O285" i="19"/>
  <c r="L29" i="20"/>
  <c r="O32" i="20"/>
  <c r="O35" i="20"/>
  <c r="N90" i="20"/>
  <c r="N88" i="20" s="1"/>
  <c r="P127" i="20"/>
  <c r="M125" i="20"/>
  <c r="P125" i="20" s="1"/>
  <c r="J143" i="20"/>
  <c r="J131" i="20" s="1"/>
  <c r="K145" i="20"/>
  <c r="I143" i="20"/>
  <c r="P154" i="20"/>
  <c r="N171" i="20"/>
  <c r="P186" i="20"/>
  <c r="M183" i="20"/>
  <c r="K215" i="20"/>
  <c r="I208" i="20"/>
  <c r="K208" i="20" s="1"/>
  <c r="K708" i="13"/>
  <c r="N183" i="18"/>
  <c r="N181" i="18" s="1"/>
  <c r="L229" i="18"/>
  <c r="M94" i="19"/>
  <c r="P94" i="19" s="1"/>
  <c r="N90" i="19"/>
  <c r="N88" i="19" s="1"/>
  <c r="N152" i="19"/>
  <c r="O269" i="19"/>
  <c r="N330" i="19"/>
  <c r="N328" i="19" s="1"/>
  <c r="K362" i="19"/>
  <c r="M449" i="19"/>
  <c r="M447" i="19" s="1"/>
  <c r="P447" i="19" s="1"/>
  <c r="O15" i="20"/>
  <c r="L23" i="20"/>
  <c r="L21" i="20" s="1"/>
  <c r="N23" i="20"/>
  <c r="N44" i="20"/>
  <c r="P54" i="20"/>
  <c r="P150" i="20"/>
  <c r="O170" i="20"/>
  <c r="L167" i="20"/>
  <c r="M184" i="20"/>
  <c r="P184" i="20" s="1"/>
  <c r="I216" i="20"/>
  <c r="K216" i="20" s="1"/>
  <c r="K146" i="20"/>
  <c r="L151" i="20"/>
  <c r="L149" i="20" s="1"/>
  <c r="M167" i="20"/>
  <c r="I226" i="20"/>
  <c r="L267" i="20"/>
  <c r="O267" i="20" s="1"/>
  <c r="P282" i="20"/>
  <c r="N300" i="20"/>
  <c r="P306" i="20"/>
  <c r="M304" i="20"/>
  <c r="P304" i="20" s="1"/>
  <c r="J327" i="20"/>
  <c r="K327" i="20" s="1"/>
  <c r="P350" i="20"/>
  <c r="P351" i="20"/>
  <c r="O316" i="20"/>
  <c r="O634" i="20"/>
  <c r="N631" i="20"/>
  <c r="N632" i="20"/>
  <c r="L209" i="20"/>
  <c r="O209" i="20" s="1"/>
  <c r="M264" i="20"/>
  <c r="M280" i="20"/>
  <c r="L318" i="20"/>
  <c r="O318" i="20" s="1"/>
  <c r="P320" i="20"/>
  <c r="M317" i="20"/>
  <c r="P303" i="20"/>
  <c r="M301" i="20"/>
  <c r="J355" i="20"/>
  <c r="K355" i="20" s="1"/>
  <c r="K362" i="20"/>
  <c r="K79" i="20"/>
  <c r="I77" i="20"/>
  <c r="L183" i="20"/>
  <c r="L228" i="20"/>
  <c r="M263" i="20"/>
  <c r="O285" i="20"/>
  <c r="O329" i="20"/>
  <c r="P403" i="20"/>
  <c r="N422" i="20"/>
  <c r="O424" i="20"/>
  <c r="N421" i="20"/>
  <c r="O133" i="20"/>
  <c r="I174" i="20"/>
  <c r="K204" i="20"/>
  <c r="I197" i="20"/>
  <c r="K197" i="20" s="1"/>
  <c r="O282" i="20"/>
  <c r="I297" i="20"/>
  <c r="K297" i="20" s="1"/>
  <c r="M300" i="20"/>
  <c r="L317" i="20"/>
  <c r="O317" i="20" s="1"/>
  <c r="M331" i="20"/>
  <c r="P333" i="20"/>
  <c r="P336" i="20"/>
  <c r="M347" i="20"/>
  <c r="J364" i="20"/>
  <c r="M546" i="20"/>
  <c r="P546" i="20" s="1"/>
  <c r="M547" i="20"/>
  <c r="P547" i="20" s="1"/>
  <c r="P549" i="20"/>
  <c r="K559" i="20"/>
  <c r="K593" i="20"/>
  <c r="J592" i="20"/>
  <c r="K592" i="20" s="1"/>
  <c r="N629" i="20"/>
  <c r="M631" i="20"/>
  <c r="M632" i="20"/>
  <c r="P632" i="20" s="1"/>
  <c r="P634" i="20"/>
  <c r="O422" i="20"/>
  <c r="K577" i="20"/>
  <c r="M405" i="20"/>
  <c r="P405" i="20" s="1"/>
  <c r="M408" i="20"/>
  <c r="P408" i="20" s="1"/>
  <c r="O431" i="20"/>
  <c r="L446" i="20"/>
  <c r="M472" i="20"/>
  <c r="P503" i="20"/>
  <c r="O549" i="20"/>
  <c r="K576" i="20"/>
  <c r="O630" i="20"/>
  <c r="K675" i="20"/>
  <c r="L737" i="20"/>
  <c r="O737" i="20" s="1"/>
  <c r="L754" i="20"/>
  <c r="O754" i="20" s="1"/>
  <c r="L770" i="20"/>
  <c r="O770" i="20" s="1"/>
  <c r="N808" i="20"/>
  <c r="N447" i="20"/>
  <c r="O447" i="20" s="1"/>
  <c r="O528" i="20"/>
  <c r="M737" i="20"/>
  <c r="P737" i="20" s="1"/>
  <c r="M754" i="20"/>
  <c r="P754" i="20" s="1"/>
  <c r="M770" i="20"/>
  <c r="P770" i="20" s="1"/>
  <c r="O791" i="20"/>
  <c r="L805" i="20"/>
  <c r="O805" i="20" s="1"/>
  <c r="J433" i="20"/>
  <c r="J417" i="20" s="1"/>
  <c r="L502" i="20"/>
  <c r="O502" i="20" s="1"/>
  <c r="K537" i="20"/>
  <c r="K669" i="20"/>
  <c r="K673" i="20"/>
  <c r="L687" i="20"/>
  <c r="L421" i="20"/>
  <c r="O421" i="20" s="1"/>
  <c r="L546" i="18"/>
  <c r="O546" i="18" s="1"/>
  <c r="M68" i="19"/>
  <c r="M66" i="19" s="1"/>
  <c r="O96" i="19"/>
  <c r="K100" i="19"/>
  <c r="N125" i="19"/>
  <c r="P140" i="19"/>
  <c r="L171" i="19"/>
  <c r="O171" i="19" s="1"/>
  <c r="I237" i="19"/>
  <c r="K237" i="19" s="1"/>
  <c r="L330" i="19"/>
  <c r="L328" i="19" s="1"/>
  <c r="L639" i="6"/>
  <c r="O639" i="6" s="1"/>
  <c r="L47" i="19"/>
  <c r="O47" i="19" s="1"/>
  <c r="L72" i="19"/>
  <c r="O72" i="19" s="1"/>
  <c r="O91" i="19"/>
  <c r="I112" i="19"/>
  <c r="K112" i="19" s="1"/>
  <c r="M187" i="19"/>
  <c r="P187" i="19" s="1"/>
  <c r="L228" i="19"/>
  <c r="O348" i="19"/>
  <c r="I434" i="19"/>
  <c r="K434" i="19" s="1"/>
  <c r="L631" i="19"/>
  <c r="L629" i="19" s="1"/>
  <c r="O629" i="19" s="1"/>
  <c r="K176" i="19"/>
  <c r="I216" i="19"/>
  <c r="K216" i="19" s="1"/>
  <c r="O320" i="19"/>
  <c r="O336" i="19"/>
  <c r="K359" i="19"/>
  <c r="I654" i="19"/>
  <c r="K355" i="18"/>
  <c r="O184" i="19"/>
  <c r="L321" i="19"/>
  <c r="O321" i="19" s="1"/>
  <c r="L546" i="19"/>
  <c r="O546" i="19" s="1"/>
  <c r="M94" i="18"/>
  <c r="P94" i="18" s="1"/>
  <c r="L631" i="18"/>
  <c r="O631" i="18" s="1"/>
  <c r="M183" i="19"/>
  <c r="M181" i="19" s="1"/>
  <c r="N404" i="19"/>
  <c r="N402" i="19" s="1"/>
  <c r="L639" i="19"/>
  <c r="O639" i="19" s="1"/>
  <c r="K822" i="19"/>
  <c r="L134" i="14"/>
  <c r="O134" i="14" s="1"/>
  <c r="M301" i="18"/>
  <c r="P301" i="18" s="1"/>
  <c r="M317" i="18"/>
  <c r="M315" i="18" s="1"/>
  <c r="P315" i="18" s="1"/>
  <c r="K370" i="18"/>
  <c r="K374" i="18"/>
  <c r="L408" i="18"/>
  <c r="O408" i="18" s="1"/>
  <c r="M424" i="18"/>
  <c r="M421" i="18" s="1"/>
  <c r="P421" i="18" s="1"/>
  <c r="M47" i="19"/>
  <c r="P47" i="19" s="1"/>
  <c r="M55" i="19"/>
  <c r="M53" i="19" s="1"/>
  <c r="M72" i="19"/>
  <c r="P72" i="19" s="1"/>
  <c r="O93" i="19"/>
  <c r="M155" i="19"/>
  <c r="P155" i="19" s="1"/>
  <c r="N168" i="19"/>
  <c r="P168" i="19" s="1"/>
  <c r="N167" i="19"/>
  <c r="N165" i="19" s="1"/>
  <c r="M267" i="19"/>
  <c r="P267" i="19" s="1"/>
  <c r="L47" i="18"/>
  <c r="O47" i="18" s="1"/>
  <c r="O125" i="18"/>
  <c r="L279" i="18"/>
  <c r="L277" i="18" s="1"/>
  <c r="O303" i="18"/>
  <c r="M318" i="18"/>
  <c r="P318" i="18" s="1"/>
  <c r="I364" i="18"/>
  <c r="K379" i="18"/>
  <c r="I76" i="19"/>
  <c r="O127" i="19"/>
  <c r="L121" i="19"/>
  <c r="L119" i="19" s="1"/>
  <c r="O119" i="19" s="1"/>
  <c r="N183" i="19"/>
  <c r="N181" i="19" s="1"/>
  <c r="N187" i="19"/>
  <c r="I522" i="19"/>
  <c r="K522" i="19" s="1"/>
  <c r="K537" i="19"/>
  <c r="M632" i="19"/>
  <c r="P632" i="19" s="1"/>
  <c r="M631" i="19"/>
  <c r="I785" i="13"/>
  <c r="P125" i="18"/>
  <c r="I260" i="18"/>
  <c r="K260" i="18" s="1"/>
  <c r="M26" i="19"/>
  <c r="M16" i="19" s="1"/>
  <c r="L44" i="19"/>
  <c r="O44" i="19" s="1"/>
  <c r="O46" i="19"/>
  <c r="O69" i="19"/>
  <c r="M283" i="17"/>
  <c r="P283" i="17" s="1"/>
  <c r="L249" i="18"/>
  <c r="O249" i="18" s="1"/>
  <c r="K359" i="18"/>
  <c r="K362" i="18"/>
  <c r="K385" i="18"/>
  <c r="N23" i="19"/>
  <c r="I297" i="19"/>
  <c r="K297" i="19" s="1"/>
  <c r="K309" i="19"/>
  <c r="O137" i="19"/>
  <c r="L134" i="19"/>
  <c r="K379" i="13"/>
  <c r="M43" i="19"/>
  <c r="M41" i="19" s="1"/>
  <c r="O58" i="19"/>
  <c r="L56" i="19"/>
  <c r="P93" i="19"/>
  <c r="M91" i="19"/>
  <c r="P91" i="19" s="1"/>
  <c r="L183" i="19"/>
  <c r="O186" i="19"/>
  <c r="K649" i="18"/>
  <c r="K87" i="19"/>
  <c r="O170" i="19"/>
  <c r="O189" i="19"/>
  <c r="N317" i="19"/>
  <c r="N315" i="19" s="1"/>
  <c r="O353" i="19"/>
  <c r="K369" i="19"/>
  <c r="I443" i="19"/>
  <c r="K443" i="19" s="1"/>
  <c r="K649" i="19"/>
  <c r="K821" i="19"/>
  <c r="P351" i="19"/>
  <c r="K594" i="19"/>
  <c r="K673" i="19"/>
  <c r="L198" i="19"/>
  <c r="O198" i="19" s="1"/>
  <c r="K674" i="19"/>
  <c r="I260" i="19"/>
  <c r="K260" i="19" s="1"/>
  <c r="M263" i="19"/>
  <c r="M261" i="19" s="1"/>
  <c r="J288" i="19"/>
  <c r="J275" i="19" s="1"/>
  <c r="L300" i="19"/>
  <c r="O300" i="19" s="1"/>
  <c r="M317" i="19"/>
  <c r="P317" i="19" s="1"/>
  <c r="O333" i="19"/>
  <c r="K370" i="19"/>
  <c r="K466" i="19"/>
  <c r="L469" i="19"/>
  <c r="L36" i="19"/>
  <c r="O36" i="19" s="1"/>
  <c r="M549" i="19"/>
  <c r="M546" i="19" s="1"/>
  <c r="P546" i="19" s="1"/>
  <c r="K669" i="19"/>
  <c r="K821" i="18"/>
  <c r="K824" i="18"/>
  <c r="K827" i="18"/>
  <c r="P46" i="19"/>
  <c r="I77" i="19"/>
  <c r="K77" i="19" s="1"/>
  <c r="K98" i="19"/>
  <c r="I275" i="19"/>
  <c r="K275" i="19" s="1"/>
  <c r="L304" i="19"/>
  <c r="O304" i="19" s="1"/>
  <c r="K355" i="19"/>
  <c r="I442" i="19"/>
  <c r="K442" i="19" s="1"/>
  <c r="L454" i="19"/>
  <c r="O454" i="19" s="1"/>
  <c r="O472" i="19"/>
  <c r="O557" i="19"/>
  <c r="K593" i="19"/>
  <c r="O690" i="19"/>
  <c r="I148" i="17"/>
  <c r="K148" i="17" s="1"/>
  <c r="L68" i="18"/>
  <c r="L66" i="18" s="1"/>
  <c r="L155" i="18"/>
  <c r="O155" i="18" s="1"/>
  <c r="M267" i="18"/>
  <c r="P267" i="18" s="1"/>
  <c r="O549" i="18"/>
  <c r="L547" i="18"/>
  <c r="O547" i="18" s="1"/>
  <c r="P186" i="17"/>
  <c r="I276" i="18"/>
  <c r="K276" i="18" s="1"/>
  <c r="L429" i="18"/>
  <c r="O429" i="18" s="1"/>
  <c r="L421" i="18"/>
  <c r="O421" i="18" s="1"/>
  <c r="L36" i="18"/>
  <c r="O36" i="18" s="1"/>
  <c r="K674" i="18"/>
  <c r="I654" i="18"/>
  <c r="K654" i="18" s="1"/>
  <c r="M151" i="17"/>
  <c r="M149" i="17" s="1"/>
  <c r="P149" i="17" s="1"/>
  <c r="O407" i="18"/>
  <c r="L405" i="18"/>
  <c r="O405" i="18" s="1"/>
  <c r="I77" i="18"/>
  <c r="I65" i="18" s="1"/>
  <c r="K65" i="18" s="1"/>
  <c r="P407" i="18"/>
  <c r="M405" i="18"/>
  <c r="P405" i="18" s="1"/>
  <c r="K435" i="18"/>
  <c r="I433" i="18"/>
  <c r="I417" i="18" s="1"/>
  <c r="L470" i="18"/>
  <c r="J143" i="19"/>
  <c r="J131" i="19" s="1"/>
  <c r="I143" i="19"/>
  <c r="K145" i="19"/>
  <c r="N304" i="19"/>
  <c r="N300" i="19"/>
  <c r="N298" i="19" s="1"/>
  <c r="M334" i="19"/>
  <c r="P334" i="19" s="1"/>
  <c r="P336" i="19"/>
  <c r="M330" i="19"/>
  <c r="K725" i="17"/>
  <c r="I112" i="18"/>
  <c r="K112" i="18" s="1"/>
  <c r="L217" i="18"/>
  <c r="O217" i="18" s="1"/>
  <c r="P282" i="18"/>
  <c r="N391" i="18"/>
  <c r="N389" i="18" s="1"/>
  <c r="L9" i="19"/>
  <c r="M23" i="19"/>
  <c r="M21" i="19" s="1"/>
  <c r="N26" i="19"/>
  <c r="M29" i="19"/>
  <c r="N43" i="19"/>
  <c r="L26" i="19"/>
  <c r="K81" i="19"/>
  <c r="L90" i="19"/>
  <c r="K99" i="19"/>
  <c r="O124" i="19"/>
  <c r="P150" i="19"/>
  <c r="L168" i="19"/>
  <c r="P170" i="19"/>
  <c r="M167" i="19"/>
  <c r="O266" i="19"/>
  <c r="P346" i="19"/>
  <c r="L404" i="19"/>
  <c r="O404" i="19" s="1"/>
  <c r="O407" i="19"/>
  <c r="P420" i="19"/>
  <c r="O424" i="19"/>
  <c r="L33" i="19"/>
  <c r="L421" i="19"/>
  <c r="M424" i="19"/>
  <c r="K823" i="18"/>
  <c r="L55" i="19"/>
  <c r="P58" i="19"/>
  <c r="N56" i="19"/>
  <c r="P56" i="19" s="1"/>
  <c r="P71" i="19"/>
  <c r="J86" i="19"/>
  <c r="K86" i="19" s="1"/>
  <c r="M90" i="19"/>
  <c r="P127" i="19"/>
  <c r="M125" i="19"/>
  <c r="P125" i="19" s="1"/>
  <c r="I314" i="19"/>
  <c r="K314" i="19" s="1"/>
  <c r="K325" i="19"/>
  <c r="O350" i="19"/>
  <c r="L347" i="19"/>
  <c r="P394" i="19"/>
  <c r="M392" i="19"/>
  <c r="P392" i="19" s="1"/>
  <c r="M391" i="19"/>
  <c r="I417" i="19"/>
  <c r="M12" i="19"/>
  <c r="P32" i="19"/>
  <c r="L23" i="19"/>
  <c r="L21" i="19" s="1"/>
  <c r="N135" i="19"/>
  <c r="N134" i="19"/>
  <c r="N132" i="19" s="1"/>
  <c r="N264" i="19"/>
  <c r="O264" i="19" s="1"/>
  <c r="N263" i="19"/>
  <c r="N261" i="19" s="1"/>
  <c r="N280" i="19"/>
  <c r="N279" i="19"/>
  <c r="N277" i="19" s="1"/>
  <c r="M19" i="19"/>
  <c r="N55" i="19"/>
  <c r="O71" i="19"/>
  <c r="O157" i="19"/>
  <c r="L151" i="19"/>
  <c r="M171" i="19"/>
  <c r="P171" i="19" s="1"/>
  <c r="I190" i="19"/>
  <c r="K190" i="19" s="1"/>
  <c r="K248" i="19"/>
  <c r="P303" i="19"/>
  <c r="M301" i="19"/>
  <c r="P301" i="19" s="1"/>
  <c r="M300" i="19"/>
  <c r="N167" i="18"/>
  <c r="N165" i="18" s="1"/>
  <c r="L231" i="18"/>
  <c r="K340" i="18"/>
  <c r="K647" i="18"/>
  <c r="L657" i="18"/>
  <c r="O657" i="18" s="1"/>
  <c r="J722" i="18"/>
  <c r="K729" i="18"/>
  <c r="P25" i="19"/>
  <c r="M34" i="19"/>
  <c r="P34" i="19" s="1"/>
  <c r="L43" i="19"/>
  <c r="N68" i="19"/>
  <c r="P124" i="19"/>
  <c r="M121" i="19"/>
  <c r="L167" i="19"/>
  <c r="K225" i="19"/>
  <c r="P410" i="19"/>
  <c r="M404" i="19"/>
  <c r="N12" i="19"/>
  <c r="M152" i="19"/>
  <c r="P152" i="19" s="1"/>
  <c r="K204" i="19"/>
  <c r="I197" i="19"/>
  <c r="K197" i="19" s="1"/>
  <c r="I233" i="19"/>
  <c r="K233" i="19" s="1"/>
  <c r="O282" i="19"/>
  <c r="N331" i="19"/>
  <c r="P331" i="19" s="1"/>
  <c r="P348" i="19"/>
  <c r="P350" i="19"/>
  <c r="K385" i="19"/>
  <c r="L391" i="19"/>
  <c r="O391" i="19" s="1"/>
  <c r="N419" i="19"/>
  <c r="O449" i="19"/>
  <c r="K465" i="19"/>
  <c r="J537" i="19"/>
  <c r="J522" i="19" s="1"/>
  <c r="K538" i="19"/>
  <c r="K560" i="19"/>
  <c r="P282" i="19"/>
  <c r="O303" i="19"/>
  <c r="N347" i="19"/>
  <c r="N345" i="19" s="1"/>
  <c r="K374" i="19"/>
  <c r="O394" i="19"/>
  <c r="O447" i="19"/>
  <c r="O545" i="19"/>
  <c r="O787" i="19"/>
  <c r="L786" i="19"/>
  <c r="O786" i="19" s="1"/>
  <c r="M151" i="19"/>
  <c r="P151" i="19" s="1"/>
  <c r="K255" i="19"/>
  <c r="O390" i="19"/>
  <c r="N391" i="19"/>
  <c r="N389" i="19" s="1"/>
  <c r="L533" i="19"/>
  <c r="O533" i="19" s="1"/>
  <c r="O535" i="19"/>
  <c r="L525" i="19"/>
  <c r="O525" i="19" s="1"/>
  <c r="O547" i="19"/>
  <c r="L658" i="19"/>
  <c r="O658" i="19" s="1"/>
  <c r="O660" i="19"/>
  <c r="M660" i="19"/>
  <c r="I208" i="19"/>
  <c r="K208" i="19" s="1"/>
  <c r="L209" i="19"/>
  <c r="O209" i="19" s="1"/>
  <c r="L230" i="19"/>
  <c r="M304" i="19"/>
  <c r="P304" i="19" s="1"/>
  <c r="J327" i="19"/>
  <c r="K327" i="19" s="1"/>
  <c r="M347" i="19"/>
  <c r="K365" i="19"/>
  <c r="I364" i="19"/>
  <c r="P397" i="19"/>
  <c r="M395" i="19"/>
  <c r="P395" i="19" s="1"/>
  <c r="K651" i="19"/>
  <c r="I628" i="19"/>
  <c r="K628" i="19" s="1"/>
  <c r="L657" i="19"/>
  <c r="P807" i="19"/>
  <c r="M805" i="19"/>
  <c r="P805" i="19" s="1"/>
  <c r="P266" i="19"/>
  <c r="P353" i="19"/>
  <c r="K435" i="19"/>
  <c r="J433" i="19"/>
  <c r="J417" i="19" s="1"/>
  <c r="K559" i="19"/>
  <c r="I543" i="19"/>
  <c r="K543" i="19" s="1"/>
  <c r="P755" i="19"/>
  <c r="M754" i="19"/>
  <c r="P754" i="19" s="1"/>
  <c r="I785" i="19"/>
  <c r="K785" i="19" s="1"/>
  <c r="K800" i="19"/>
  <c r="O806" i="19"/>
  <c r="L805" i="19"/>
  <c r="O805" i="19" s="1"/>
  <c r="M469" i="19"/>
  <c r="M470" i="19"/>
  <c r="P470" i="19" s="1"/>
  <c r="K592" i="19"/>
  <c r="J654" i="19"/>
  <c r="P738" i="19"/>
  <c r="M737" i="19"/>
  <c r="P737" i="19" s="1"/>
  <c r="P771" i="19"/>
  <c r="M770" i="19"/>
  <c r="P770" i="19" s="1"/>
  <c r="P788" i="19"/>
  <c r="M786" i="19"/>
  <c r="P786" i="19" s="1"/>
  <c r="N805" i="19"/>
  <c r="P686" i="19"/>
  <c r="M687" i="19"/>
  <c r="P687" i="19" s="1"/>
  <c r="M688" i="19"/>
  <c r="P688" i="19" s="1"/>
  <c r="L470" i="19"/>
  <c r="O470" i="19" s="1"/>
  <c r="L477" i="19"/>
  <c r="O477" i="19" s="1"/>
  <c r="M545" i="19"/>
  <c r="K576" i="19"/>
  <c r="P634" i="19"/>
  <c r="K675" i="19"/>
  <c r="O791" i="19"/>
  <c r="O549" i="19"/>
  <c r="L688" i="19"/>
  <c r="O688" i="19" s="1"/>
  <c r="I543" i="18"/>
  <c r="K543" i="18" s="1"/>
  <c r="K559" i="18"/>
  <c r="N121" i="15"/>
  <c r="N119" i="15" s="1"/>
  <c r="P91" i="18"/>
  <c r="L94" i="18"/>
  <c r="O94" i="18" s="1"/>
  <c r="N151" i="18"/>
  <c r="N149" i="18" s="1"/>
  <c r="N184" i="18"/>
  <c r="O184" i="18" s="1"/>
  <c r="M187" i="18"/>
  <c r="P187" i="18" s="1"/>
  <c r="M280" i="18"/>
  <c r="P280" i="18" s="1"/>
  <c r="M634" i="18"/>
  <c r="M631" i="18" s="1"/>
  <c r="P631" i="18" s="1"/>
  <c r="K669" i="18"/>
  <c r="J785" i="18"/>
  <c r="I86" i="15"/>
  <c r="K86" i="15" s="1"/>
  <c r="L122" i="18"/>
  <c r="O122" i="18" s="1"/>
  <c r="M155" i="18"/>
  <c r="P155" i="18" s="1"/>
  <c r="O282" i="18"/>
  <c r="N317" i="18"/>
  <c r="N315" i="18" s="1"/>
  <c r="N392" i="18"/>
  <c r="J537" i="18"/>
  <c r="J522" i="18" s="1"/>
  <c r="M547" i="18"/>
  <c r="P547" i="18" s="1"/>
  <c r="L555" i="18"/>
  <c r="O555" i="18" s="1"/>
  <c r="O557" i="18"/>
  <c r="L658" i="18"/>
  <c r="O658" i="18" s="1"/>
  <c r="O660" i="18"/>
  <c r="L33" i="18"/>
  <c r="L31" i="18" s="1"/>
  <c r="O31" i="18" s="1"/>
  <c r="L151" i="17"/>
  <c r="O151" i="17" s="1"/>
  <c r="L155" i="17"/>
  <c r="O155" i="17" s="1"/>
  <c r="N168" i="18"/>
  <c r="M171" i="18"/>
  <c r="P171" i="18" s="1"/>
  <c r="P351" i="18"/>
  <c r="O528" i="18"/>
  <c r="K538" i="18"/>
  <c r="K576" i="18"/>
  <c r="L788" i="18"/>
  <c r="M321" i="17"/>
  <c r="P321" i="17" s="1"/>
  <c r="O323" i="17"/>
  <c r="O56" i="18"/>
  <c r="O59" i="18"/>
  <c r="I130" i="18"/>
  <c r="K130" i="18" s="1"/>
  <c r="P137" i="18"/>
  <c r="J143" i="18"/>
  <c r="J131" i="18" s="1"/>
  <c r="M321" i="18"/>
  <c r="P321" i="18" s="1"/>
  <c r="P350" i="18"/>
  <c r="M94" i="16"/>
  <c r="P94" i="16" s="1"/>
  <c r="K340" i="17"/>
  <c r="L69" i="18"/>
  <c r="O69" i="18" s="1"/>
  <c r="L72" i="18"/>
  <c r="O72" i="18" s="1"/>
  <c r="I87" i="18"/>
  <c r="K87" i="18" s="1"/>
  <c r="I297" i="18"/>
  <c r="K297" i="18" s="1"/>
  <c r="M330" i="18"/>
  <c r="M328" i="18" s="1"/>
  <c r="K360" i="18"/>
  <c r="K378" i="18"/>
  <c r="K381" i="18"/>
  <c r="L404" i="18"/>
  <c r="O404" i="18" s="1"/>
  <c r="O431" i="18"/>
  <c r="L525" i="18"/>
  <c r="M546" i="18"/>
  <c r="P546" i="18" s="1"/>
  <c r="K675" i="18"/>
  <c r="L789" i="18"/>
  <c r="O789" i="18" s="1"/>
  <c r="P44" i="17"/>
  <c r="O44" i="17"/>
  <c r="M167" i="18"/>
  <c r="P170" i="18"/>
  <c r="L304" i="18"/>
  <c r="O304" i="18" s="1"/>
  <c r="L300" i="18"/>
  <c r="K651" i="18"/>
  <c r="J628" i="18"/>
  <c r="K628" i="18" s="1"/>
  <c r="O154" i="18"/>
  <c r="L152" i="18"/>
  <c r="O152" i="18" s="1"/>
  <c r="P154" i="18"/>
  <c r="M152" i="18"/>
  <c r="P152" i="18" s="1"/>
  <c r="L533" i="16"/>
  <c r="O533" i="16" s="1"/>
  <c r="L47" i="17"/>
  <c r="O47" i="17" s="1"/>
  <c r="L55" i="17"/>
  <c r="L53" i="17" s="1"/>
  <c r="P71" i="17"/>
  <c r="N43" i="18"/>
  <c r="N41" i="18" s="1"/>
  <c r="N47" i="18"/>
  <c r="L55" i="18"/>
  <c r="L53" i="18" s="1"/>
  <c r="P140" i="18"/>
  <c r="M138" i="18"/>
  <c r="P138" i="18" s="1"/>
  <c r="M134" i="18"/>
  <c r="M151" i="18"/>
  <c r="I237" i="18"/>
  <c r="K237" i="18" s="1"/>
  <c r="I233" i="18"/>
  <c r="K233" i="18" s="1"/>
  <c r="K255" i="18"/>
  <c r="P306" i="18"/>
  <c r="M304" i="18"/>
  <c r="P304" i="18" s="1"/>
  <c r="O333" i="18"/>
  <c r="L331" i="18"/>
  <c r="O331" i="18" s="1"/>
  <c r="J433" i="18"/>
  <c r="J417" i="18" s="1"/>
  <c r="K437" i="18"/>
  <c r="K801" i="18"/>
  <c r="M72" i="18"/>
  <c r="P72" i="18" s="1"/>
  <c r="M68" i="18"/>
  <c r="M66" i="18" s="1"/>
  <c r="M657" i="18"/>
  <c r="K569" i="13"/>
  <c r="N55" i="15"/>
  <c r="N53" i="15" s="1"/>
  <c r="L134" i="17"/>
  <c r="L132" i="17" s="1"/>
  <c r="P71" i="18"/>
  <c r="N68" i="18"/>
  <c r="N66" i="18" s="1"/>
  <c r="L68" i="17"/>
  <c r="L66" i="17" s="1"/>
  <c r="N187" i="17"/>
  <c r="N183" i="17"/>
  <c r="N181" i="17" s="1"/>
  <c r="I131" i="18"/>
  <c r="K131" i="18" s="1"/>
  <c r="I174" i="18"/>
  <c r="I164" i="18" s="1"/>
  <c r="K164" i="18" s="1"/>
  <c r="K176" i="18"/>
  <c r="I208" i="18"/>
  <c r="K208" i="18" s="1"/>
  <c r="K215" i="18"/>
  <c r="P410" i="18"/>
  <c r="M408" i="18"/>
  <c r="P408" i="18" s="1"/>
  <c r="M404" i="18"/>
  <c r="P404" i="18" s="1"/>
  <c r="M470" i="18"/>
  <c r="P470" i="18" s="1"/>
  <c r="M469" i="18"/>
  <c r="M467" i="18" s="1"/>
  <c r="P660" i="18"/>
  <c r="N263" i="18"/>
  <c r="N261" i="18" s="1"/>
  <c r="N279" i="15"/>
  <c r="N277" i="15" s="1"/>
  <c r="O93" i="18"/>
  <c r="L91" i="18"/>
  <c r="O91" i="18" s="1"/>
  <c r="M168" i="18"/>
  <c r="O264" i="18"/>
  <c r="M72" i="17"/>
  <c r="P72" i="17" s="1"/>
  <c r="K78" i="18"/>
  <c r="I76" i="18"/>
  <c r="P124" i="18"/>
  <c r="M121" i="18"/>
  <c r="M119" i="18" s="1"/>
  <c r="L138" i="18"/>
  <c r="O138" i="18" s="1"/>
  <c r="L187" i="18"/>
  <c r="O187" i="18" s="1"/>
  <c r="O189" i="18"/>
  <c r="O269" i="18"/>
  <c r="L267" i="18"/>
  <c r="O267" i="18" s="1"/>
  <c r="N408" i="18"/>
  <c r="N404" i="18"/>
  <c r="N402" i="18" s="1"/>
  <c r="L688" i="18"/>
  <c r="L687" i="18"/>
  <c r="O687" i="18" s="1"/>
  <c r="M690" i="18"/>
  <c r="M688" i="18" s="1"/>
  <c r="P688" i="18" s="1"/>
  <c r="N331" i="17"/>
  <c r="N330" i="17"/>
  <c r="N328" i="17" s="1"/>
  <c r="L330" i="13"/>
  <c r="L328" i="13" s="1"/>
  <c r="N90" i="17"/>
  <c r="N88" i="17" s="1"/>
  <c r="N23" i="18"/>
  <c r="N21" i="18" s="1"/>
  <c r="M56" i="18"/>
  <c r="P56" i="18" s="1"/>
  <c r="M23" i="18"/>
  <c r="M21" i="18" s="1"/>
  <c r="K362" i="15"/>
  <c r="N122" i="18"/>
  <c r="N121" i="18"/>
  <c r="N119" i="18" s="1"/>
  <c r="K159" i="18"/>
  <c r="P266" i="18"/>
  <c r="M263" i="18"/>
  <c r="M261" i="18" s="1"/>
  <c r="M264" i="18"/>
  <c r="P264" i="18" s="1"/>
  <c r="N283" i="18"/>
  <c r="N279" i="18"/>
  <c r="N277" i="18" s="1"/>
  <c r="K325" i="18"/>
  <c r="K338" i="18"/>
  <c r="K372" i="18"/>
  <c r="K460" i="18"/>
  <c r="L477" i="18"/>
  <c r="O477" i="18" s="1"/>
  <c r="L36" i="17"/>
  <c r="O36" i="17" s="1"/>
  <c r="L23" i="18"/>
  <c r="O58" i="18"/>
  <c r="M55" i="18"/>
  <c r="M53" i="18" s="1"/>
  <c r="P93" i="18"/>
  <c r="L238" i="18"/>
  <c r="O238" i="18" s="1"/>
  <c r="N330" i="18"/>
  <c r="P331" i="18"/>
  <c r="N347" i="18"/>
  <c r="N345" i="18" s="1"/>
  <c r="O266" i="17"/>
  <c r="L43" i="18"/>
  <c r="L41" i="18" s="1"/>
  <c r="O61" i="18"/>
  <c r="L134" i="18"/>
  <c r="O134" i="18" s="1"/>
  <c r="K145" i="18"/>
  <c r="L198" i="18"/>
  <c r="O198" i="18" s="1"/>
  <c r="K672" i="18"/>
  <c r="L228" i="17"/>
  <c r="K466" i="17"/>
  <c r="L546" i="17"/>
  <c r="O546" i="17" s="1"/>
  <c r="M44" i="18"/>
  <c r="P44" i="18" s="1"/>
  <c r="L135" i="18"/>
  <c r="O135" i="18" s="1"/>
  <c r="M334" i="18"/>
  <c r="P334" i="18" s="1"/>
  <c r="L469" i="18"/>
  <c r="L467" i="18" s="1"/>
  <c r="O641" i="18"/>
  <c r="K673" i="18"/>
  <c r="J721" i="18"/>
  <c r="M330" i="17"/>
  <c r="M328" i="17" s="1"/>
  <c r="K190" i="18"/>
  <c r="O266" i="18"/>
  <c r="K369" i="18"/>
  <c r="K822" i="18"/>
  <c r="K828" i="18"/>
  <c r="K111" i="17"/>
  <c r="M171" i="17"/>
  <c r="P171" i="17" s="1"/>
  <c r="K244" i="17"/>
  <c r="N263" i="17"/>
  <c r="N261" i="17" s="1"/>
  <c r="K287" i="17"/>
  <c r="L330" i="17"/>
  <c r="L328" i="17" s="1"/>
  <c r="J364" i="17"/>
  <c r="N90" i="16"/>
  <c r="N88" i="16" s="1"/>
  <c r="L33" i="17"/>
  <c r="O33" i="17" s="1"/>
  <c r="N55" i="17"/>
  <c r="N53" i="17" s="1"/>
  <c r="L72" i="17"/>
  <c r="O72" i="17" s="1"/>
  <c r="L90" i="17"/>
  <c r="L88" i="17" s="1"/>
  <c r="I143" i="17"/>
  <c r="I131" i="17" s="1"/>
  <c r="K360" i="17"/>
  <c r="K381" i="17"/>
  <c r="M405" i="17"/>
  <c r="P405" i="17" s="1"/>
  <c r="L408" i="17"/>
  <c r="O408" i="17" s="1"/>
  <c r="L547" i="17"/>
  <c r="O547" i="17" s="1"/>
  <c r="K726" i="17"/>
  <c r="L15" i="18"/>
  <c r="N26" i="18"/>
  <c r="L29" i="18"/>
  <c r="N28" i="18"/>
  <c r="M26" i="18"/>
  <c r="I216" i="18"/>
  <c r="K216" i="18" s="1"/>
  <c r="O323" i="18"/>
  <c r="L321" i="18"/>
  <c r="O321" i="18" s="1"/>
  <c r="L334" i="18"/>
  <c r="O334" i="18" s="1"/>
  <c r="O336" i="18"/>
  <c r="L330" i="18"/>
  <c r="L94" i="17"/>
  <c r="O94" i="17" s="1"/>
  <c r="O336" i="17"/>
  <c r="K701" i="17"/>
  <c r="M15" i="18"/>
  <c r="M29" i="18"/>
  <c r="P35" i="18"/>
  <c r="N135" i="18"/>
  <c r="N134" i="18"/>
  <c r="N132" i="18" s="1"/>
  <c r="P186" i="18"/>
  <c r="M183" i="18"/>
  <c r="M12" i="18"/>
  <c r="O22" i="18"/>
  <c r="L19" i="18"/>
  <c r="L12" i="18"/>
  <c r="O46" i="18"/>
  <c r="L44" i="18"/>
  <c r="O44" i="18" s="1"/>
  <c r="L168" i="18"/>
  <c r="O170" i="18"/>
  <c r="L167" i="18"/>
  <c r="J288" i="18"/>
  <c r="J275" i="18" s="1"/>
  <c r="I275" i="18"/>
  <c r="M125" i="15"/>
  <c r="P125" i="15" s="1"/>
  <c r="K821" i="15"/>
  <c r="K824" i="15"/>
  <c r="K827" i="15"/>
  <c r="L231" i="17"/>
  <c r="K359" i="17"/>
  <c r="K720" i="17"/>
  <c r="L788" i="17"/>
  <c r="O788" i="17" s="1"/>
  <c r="K823" i="17"/>
  <c r="K826" i="17"/>
  <c r="N12" i="18"/>
  <c r="P67" i="18"/>
  <c r="N317" i="17"/>
  <c r="N315" i="17" s="1"/>
  <c r="M19" i="18"/>
  <c r="M59" i="18"/>
  <c r="P59" i="18" s="1"/>
  <c r="P61" i="18"/>
  <c r="L121" i="18"/>
  <c r="O127" i="18"/>
  <c r="M279" i="18"/>
  <c r="P285" i="18"/>
  <c r="L26" i="18"/>
  <c r="M43" i="18"/>
  <c r="P49" i="18"/>
  <c r="N55" i="18"/>
  <c r="O71" i="18"/>
  <c r="P74" i="18"/>
  <c r="K86" i="18"/>
  <c r="L90" i="18"/>
  <c r="K98" i="18"/>
  <c r="P127" i="18"/>
  <c r="O137" i="18"/>
  <c r="L151" i="18"/>
  <c r="O173" i="18"/>
  <c r="L183" i="18"/>
  <c r="L263" i="18"/>
  <c r="O280" i="18"/>
  <c r="N300" i="18"/>
  <c r="N298" i="18" s="1"/>
  <c r="M347" i="18"/>
  <c r="L348" i="18"/>
  <c r="O348" i="18" s="1"/>
  <c r="O350" i="18"/>
  <c r="L347" i="18"/>
  <c r="L345" i="18" s="1"/>
  <c r="I434" i="18"/>
  <c r="K438" i="18"/>
  <c r="P69" i="18"/>
  <c r="O186" i="18"/>
  <c r="K204" i="18"/>
  <c r="I197" i="18"/>
  <c r="K197" i="18" s="1"/>
  <c r="L230" i="18"/>
  <c r="O285" i="18"/>
  <c r="O306" i="18"/>
  <c r="P329" i="18"/>
  <c r="P394" i="18"/>
  <c r="M391" i="18"/>
  <c r="P391" i="18" s="1"/>
  <c r="P397" i="18"/>
  <c r="M395" i="18"/>
  <c r="P395" i="18" s="1"/>
  <c r="K365" i="18"/>
  <c r="J364" i="18"/>
  <c r="K79" i="18"/>
  <c r="K115" i="18"/>
  <c r="O320" i="18"/>
  <c r="L318" i="18"/>
  <c r="O318" i="18" s="1"/>
  <c r="O390" i="18"/>
  <c r="O446" i="18"/>
  <c r="L444" i="18"/>
  <c r="O444" i="18" s="1"/>
  <c r="N470" i="18"/>
  <c r="N469" i="18"/>
  <c r="N467" i="18" s="1"/>
  <c r="P58" i="18"/>
  <c r="K100" i="18"/>
  <c r="L209" i="18"/>
  <c r="O209" i="18" s="1"/>
  <c r="J327" i="18"/>
  <c r="K327" i="18" s="1"/>
  <c r="P353" i="18"/>
  <c r="P333" i="18"/>
  <c r="L392" i="18"/>
  <c r="O392" i="18" s="1"/>
  <c r="O394" i="18"/>
  <c r="O420" i="18"/>
  <c r="O472" i="18"/>
  <c r="N739" i="18"/>
  <c r="N737" i="18" s="1"/>
  <c r="N740" i="18"/>
  <c r="N754" i="18"/>
  <c r="P504" i="18"/>
  <c r="M502" i="18"/>
  <c r="P502" i="18" s="1"/>
  <c r="N687" i="18"/>
  <c r="N685" i="18" s="1"/>
  <c r="O690" i="18"/>
  <c r="N688" i="18"/>
  <c r="O806" i="18"/>
  <c r="L805" i="18"/>
  <c r="O805" i="18" s="1"/>
  <c r="O630" i="18"/>
  <c r="N756" i="18"/>
  <c r="N757" i="18"/>
  <c r="N770" i="18"/>
  <c r="O422" i="18"/>
  <c r="I443" i="18"/>
  <c r="K443" i="18" s="1"/>
  <c r="K462" i="18"/>
  <c r="P468" i="18"/>
  <c r="O503" i="18"/>
  <c r="L502" i="18"/>
  <c r="O502" i="18" s="1"/>
  <c r="P348" i="18"/>
  <c r="L351" i="18"/>
  <c r="O351" i="18" s="1"/>
  <c r="O353" i="18"/>
  <c r="L447" i="18"/>
  <c r="O447" i="18" s="1"/>
  <c r="O449" i="18"/>
  <c r="M449" i="18"/>
  <c r="L454" i="18"/>
  <c r="O454" i="18" s="1"/>
  <c r="O456" i="18"/>
  <c r="I592" i="18"/>
  <c r="K592" i="18" s="1"/>
  <c r="K593" i="18"/>
  <c r="N772" i="18"/>
  <c r="N773" i="18"/>
  <c r="K537" i="18"/>
  <c r="O397" i="18"/>
  <c r="O424" i="18"/>
  <c r="P472" i="18"/>
  <c r="O634" i="18"/>
  <c r="L737" i="18"/>
  <c r="O737" i="18" s="1"/>
  <c r="L754" i="18"/>
  <c r="O754" i="18" s="1"/>
  <c r="L770" i="18"/>
  <c r="O770" i="18" s="1"/>
  <c r="M791" i="18"/>
  <c r="M805" i="18"/>
  <c r="P805" i="18" s="1"/>
  <c r="O69" i="17"/>
  <c r="N391" i="13"/>
  <c r="N389" i="13" s="1"/>
  <c r="N404" i="14"/>
  <c r="N402" i="14" s="1"/>
  <c r="M43" i="16"/>
  <c r="M41" i="16" s="1"/>
  <c r="N94" i="16"/>
  <c r="M317" i="16"/>
  <c r="P317" i="16" s="1"/>
  <c r="N56" i="17"/>
  <c r="P56" i="17" s="1"/>
  <c r="M69" i="17"/>
  <c r="P69" i="17" s="1"/>
  <c r="N91" i="17"/>
  <c r="O91" i="17" s="1"/>
  <c r="L121" i="17"/>
  <c r="O121" i="17" s="1"/>
  <c r="N134" i="17"/>
  <c r="N132" i="17" s="1"/>
  <c r="P138" i="17"/>
  <c r="M184" i="17"/>
  <c r="P184" i="17" s="1"/>
  <c r="N321" i="17"/>
  <c r="N391" i="17"/>
  <c r="N389" i="17" s="1"/>
  <c r="K649" i="17"/>
  <c r="L134" i="15"/>
  <c r="L132" i="15" s="1"/>
  <c r="L187" i="17"/>
  <c r="O187" i="17" s="1"/>
  <c r="L198" i="17"/>
  <c r="O198" i="17" s="1"/>
  <c r="L238" i="17"/>
  <c r="O238" i="17" s="1"/>
  <c r="L249" i="17"/>
  <c r="O249" i="17" s="1"/>
  <c r="I275" i="17"/>
  <c r="M404" i="17"/>
  <c r="P404" i="17" s="1"/>
  <c r="K728" i="17"/>
  <c r="L334" i="13"/>
  <c r="O334" i="13" s="1"/>
  <c r="L94" i="15"/>
  <c r="O94" i="15" s="1"/>
  <c r="L318" i="16"/>
  <c r="O318" i="16" s="1"/>
  <c r="L122" i="17"/>
  <c r="O122" i="17" s="1"/>
  <c r="N167" i="17"/>
  <c r="N165" i="17" s="1"/>
  <c r="L217" i="17"/>
  <c r="O217" i="17" s="1"/>
  <c r="I233" i="17"/>
  <c r="K233" i="17" s="1"/>
  <c r="J275" i="17"/>
  <c r="K355" i="17"/>
  <c r="K821" i="17"/>
  <c r="K824" i="17"/>
  <c r="K827" i="17"/>
  <c r="O124" i="15"/>
  <c r="I433" i="16"/>
  <c r="I417" i="16" s="1"/>
  <c r="M23" i="17"/>
  <c r="O93" i="17"/>
  <c r="L125" i="17"/>
  <c r="O125" i="17" s="1"/>
  <c r="O140" i="17"/>
  <c r="I216" i="17"/>
  <c r="K216" i="17" s="1"/>
  <c r="O59" i="12"/>
  <c r="K99" i="16"/>
  <c r="K379" i="16"/>
  <c r="N43" i="17"/>
  <c r="N41" i="17" s="1"/>
  <c r="P93" i="17"/>
  <c r="I130" i="17"/>
  <c r="K130" i="17" s="1"/>
  <c r="P137" i="17"/>
  <c r="M318" i="17"/>
  <c r="P318" i="17" s="1"/>
  <c r="K369" i="17"/>
  <c r="K372" i="17"/>
  <c r="M408" i="17"/>
  <c r="P408" i="17" s="1"/>
  <c r="L631" i="17"/>
  <c r="O631" i="17" s="1"/>
  <c r="L687" i="17"/>
  <c r="K822" i="17"/>
  <c r="K825" i="17"/>
  <c r="K828" i="17"/>
  <c r="P96" i="17"/>
  <c r="M94" i="17"/>
  <c r="P94" i="17" s="1"/>
  <c r="P189" i="17"/>
  <c r="M183" i="17"/>
  <c r="M187" i="17"/>
  <c r="P187" i="17" s="1"/>
  <c r="N263" i="15"/>
  <c r="L36" i="16"/>
  <c r="L34" i="16" s="1"/>
  <c r="O34" i="16" s="1"/>
  <c r="L151" i="16"/>
  <c r="O151" i="16" s="1"/>
  <c r="N279" i="16"/>
  <c r="N277" i="16" s="1"/>
  <c r="I297" i="16"/>
  <c r="K297" i="16" s="1"/>
  <c r="M347" i="16"/>
  <c r="M345" i="16" s="1"/>
  <c r="N391" i="16"/>
  <c r="N389" i="16" s="1"/>
  <c r="L631" i="16"/>
  <c r="L629" i="16" s="1"/>
  <c r="O629" i="16" s="1"/>
  <c r="L56" i="17"/>
  <c r="K115" i="17"/>
  <c r="I112" i="17"/>
  <c r="K112" i="17" s="1"/>
  <c r="K338" i="17"/>
  <c r="K438" i="17"/>
  <c r="I434" i="17"/>
  <c r="K434" i="17" s="1"/>
  <c r="L446" i="17"/>
  <c r="L444" i="17" s="1"/>
  <c r="M321" i="13"/>
  <c r="P321" i="13" s="1"/>
  <c r="M408" i="14"/>
  <c r="P408" i="14" s="1"/>
  <c r="L392" i="16"/>
  <c r="O392" i="16" s="1"/>
  <c r="L23" i="17"/>
  <c r="N122" i="17"/>
  <c r="N121" i="17"/>
  <c r="N119" i="17" s="1"/>
  <c r="L300" i="17"/>
  <c r="O303" i="17"/>
  <c r="L301" i="17"/>
  <c r="O301" i="17" s="1"/>
  <c r="M317" i="17"/>
  <c r="I77" i="16"/>
  <c r="K77" i="16" s="1"/>
  <c r="P127" i="16"/>
  <c r="L230" i="16"/>
  <c r="M405" i="16"/>
  <c r="P405" i="16" s="1"/>
  <c r="L639" i="16"/>
  <c r="O639" i="16" s="1"/>
  <c r="I785" i="16"/>
  <c r="N23" i="17"/>
  <c r="N21" i="17" s="1"/>
  <c r="L26" i="17"/>
  <c r="M26" i="17"/>
  <c r="M16" i="17" s="1"/>
  <c r="O58" i="17"/>
  <c r="N68" i="17"/>
  <c r="N66" i="17" s="1"/>
  <c r="O170" i="17"/>
  <c r="L168" i="17"/>
  <c r="O168" i="17" s="1"/>
  <c r="I174" i="17"/>
  <c r="K176" i="17"/>
  <c r="L318" i="17"/>
  <c r="O318" i="17" s="1"/>
  <c r="O320" i="17"/>
  <c r="L317" i="17"/>
  <c r="O317" i="17" s="1"/>
  <c r="O350" i="17"/>
  <c r="L347" i="17"/>
  <c r="L345" i="17" s="1"/>
  <c r="L454" i="17"/>
  <c r="O454" i="17" s="1"/>
  <c r="K822" i="15"/>
  <c r="K828" i="15"/>
  <c r="M69" i="16"/>
  <c r="P69" i="16" s="1"/>
  <c r="L59" i="17"/>
  <c r="O59" i="17" s="1"/>
  <c r="K87" i="17"/>
  <c r="O137" i="17"/>
  <c r="L135" i="17"/>
  <c r="O135" i="17" s="1"/>
  <c r="O186" i="17"/>
  <c r="L183" i="17"/>
  <c r="O269" i="17"/>
  <c r="L267" i="17"/>
  <c r="O267" i="17" s="1"/>
  <c r="M300" i="17"/>
  <c r="P300" i="17" s="1"/>
  <c r="N301" i="17"/>
  <c r="N300" i="17"/>
  <c r="N298" i="17" s="1"/>
  <c r="O353" i="17"/>
  <c r="P56" i="14"/>
  <c r="K700" i="16"/>
  <c r="P49" i="17"/>
  <c r="P61" i="17"/>
  <c r="L167" i="17"/>
  <c r="O167" i="17" s="1"/>
  <c r="O173" i="17"/>
  <c r="L184" i="17"/>
  <c r="O184" i="17" s="1"/>
  <c r="L263" i="17"/>
  <c r="P266" i="17"/>
  <c r="M263" i="17"/>
  <c r="N347" i="17"/>
  <c r="N345" i="17" s="1"/>
  <c r="N348" i="17"/>
  <c r="N404" i="17"/>
  <c r="N402" i="17" s="1"/>
  <c r="N405" i="17"/>
  <c r="K537" i="17"/>
  <c r="I522" i="17"/>
  <c r="K522" i="17" s="1"/>
  <c r="M134" i="17"/>
  <c r="P350" i="17"/>
  <c r="K385" i="17"/>
  <c r="O549" i="17"/>
  <c r="J722" i="17"/>
  <c r="K722" i="17" s="1"/>
  <c r="L230" i="17"/>
  <c r="L331" i="17"/>
  <c r="K362" i="17"/>
  <c r="K370" i="17"/>
  <c r="K543" i="17"/>
  <c r="K594" i="17"/>
  <c r="M634" i="17"/>
  <c r="P634" i="17" s="1"/>
  <c r="K647" i="17"/>
  <c r="K723" i="17"/>
  <c r="M91" i="17"/>
  <c r="M135" i="17"/>
  <c r="P135" i="17" s="1"/>
  <c r="L152" i="17"/>
  <c r="O152" i="17" s="1"/>
  <c r="M168" i="17"/>
  <c r="P168" i="17" s="1"/>
  <c r="N264" i="17"/>
  <c r="O264" i="17" s="1"/>
  <c r="L304" i="17"/>
  <c r="O304" i="17" s="1"/>
  <c r="I314" i="17"/>
  <c r="K314" i="17" s="1"/>
  <c r="O333" i="17"/>
  <c r="M392" i="17"/>
  <c r="P392" i="17" s="1"/>
  <c r="L395" i="17"/>
  <c r="O395" i="17" s="1"/>
  <c r="L404" i="17"/>
  <c r="O404" i="17" s="1"/>
  <c r="L632" i="17"/>
  <c r="O632" i="17" s="1"/>
  <c r="M121" i="17"/>
  <c r="P121" i="17" s="1"/>
  <c r="N151" i="17"/>
  <c r="N149" i="17" s="1"/>
  <c r="L209" i="17"/>
  <c r="O209" i="17" s="1"/>
  <c r="K379" i="17"/>
  <c r="I442" i="17"/>
  <c r="K442" i="17" s="1"/>
  <c r="L229" i="14"/>
  <c r="N300" i="14"/>
  <c r="N298" i="14" s="1"/>
  <c r="K374" i="14"/>
  <c r="M167" i="15"/>
  <c r="M165" i="15" s="1"/>
  <c r="L231" i="15"/>
  <c r="P266" i="15"/>
  <c r="M72" i="16"/>
  <c r="P72" i="16" s="1"/>
  <c r="L9" i="17"/>
  <c r="O12" i="17"/>
  <c r="I364" i="14"/>
  <c r="L263" i="15"/>
  <c r="L261" i="15" s="1"/>
  <c r="O269" i="15"/>
  <c r="L555" i="15"/>
  <c r="O555" i="15" s="1"/>
  <c r="O557" i="15"/>
  <c r="N9" i="17"/>
  <c r="I216" i="16"/>
  <c r="K216" i="16" s="1"/>
  <c r="N134" i="14"/>
  <c r="N132" i="14" s="1"/>
  <c r="K385" i="14"/>
  <c r="M151" i="15"/>
  <c r="M149" i="15" s="1"/>
  <c r="K647" i="15"/>
  <c r="M68" i="16"/>
  <c r="P68" i="16" s="1"/>
  <c r="O44" i="16"/>
  <c r="N56" i="15"/>
  <c r="P56" i="15" s="1"/>
  <c r="M44" i="16"/>
  <c r="P44" i="16" s="1"/>
  <c r="O96" i="16"/>
  <c r="P269" i="16"/>
  <c r="M267" i="16"/>
  <c r="P267" i="16" s="1"/>
  <c r="L231" i="16"/>
  <c r="O456" i="16"/>
  <c r="I654" i="16"/>
  <c r="K654" i="16" s="1"/>
  <c r="N19" i="17"/>
  <c r="P22" i="17"/>
  <c r="M19" i="17"/>
  <c r="M12" i="17"/>
  <c r="O42" i="17"/>
  <c r="O46" i="17"/>
  <c r="N26" i="17"/>
  <c r="M55" i="17"/>
  <c r="M53" i="17" s="1"/>
  <c r="I77" i="17"/>
  <c r="O89" i="17"/>
  <c r="K98" i="17"/>
  <c r="P133" i="17"/>
  <c r="J143" i="17"/>
  <c r="J131" i="17" s="1"/>
  <c r="N155" i="17"/>
  <c r="P157" i="17"/>
  <c r="M155" i="17"/>
  <c r="P155" i="17" s="1"/>
  <c r="I260" i="17"/>
  <c r="K260" i="17" s="1"/>
  <c r="I297" i="17"/>
  <c r="K297" i="17" s="1"/>
  <c r="M331" i="17"/>
  <c r="P333" i="17"/>
  <c r="K378" i="17"/>
  <c r="L408" i="16"/>
  <c r="O408" i="16" s="1"/>
  <c r="L33" i="16"/>
  <c r="K237" i="17"/>
  <c r="L317" i="16"/>
  <c r="O317" i="16" s="1"/>
  <c r="N317" i="16"/>
  <c r="N315" i="16" s="1"/>
  <c r="K338" i="16"/>
  <c r="K359" i="16"/>
  <c r="K369" i="16"/>
  <c r="K385" i="16"/>
  <c r="K651" i="16"/>
  <c r="K720" i="16"/>
  <c r="J785" i="16"/>
  <c r="K823" i="16"/>
  <c r="O22" i="17"/>
  <c r="M29" i="17"/>
  <c r="L43" i="17"/>
  <c r="P58" i="17"/>
  <c r="O71" i="17"/>
  <c r="P127" i="17"/>
  <c r="M125" i="17"/>
  <c r="P125" i="17" s="1"/>
  <c r="L138" i="17"/>
  <c r="O138" i="17" s="1"/>
  <c r="P154" i="17"/>
  <c r="M152" i="17"/>
  <c r="P152" i="17" s="1"/>
  <c r="M334" i="17"/>
  <c r="P334" i="17" s="1"/>
  <c r="P336" i="17"/>
  <c r="N347" i="16"/>
  <c r="N345" i="16" s="1"/>
  <c r="M43" i="17"/>
  <c r="M41" i="17" s="1"/>
  <c r="P46" i="17"/>
  <c r="M167" i="17"/>
  <c r="P346" i="17"/>
  <c r="O306" i="16"/>
  <c r="K649" i="16"/>
  <c r="K821" i="16"/>
  <c r="K824" i="16"/>
  <c r="K827" i="16"/>
  <c r="I76" i="17"/>
  <c r="K86" i="17"/>
  <c r="P124" i="17"/>
  <c r="M122" i="17"/>
  <c r="P122" i="17" s="1"/>
  <c r="P140" i="17"/>
  <c r="O166" i="17"/>
  <c r="I190" i="17"/>
  <c r="K190" i="17" s="1"/>
  <c r="K276" i="17"/>
  <c r="L300" i="16"/>
  <c r="L298" i="16" s="1"/>
  <c r="K370" i="16"/>
  <c r="M68" i="17"/>
  <c r="M90" i="17"/>
  <c r="I208" i="17"/>
  <c r="K208" i="17" s="1"/>
  <c r="L280" i="17"/>
  <c r="O282" i="17"/>
  <c r="L283" i="17"/>
  <c r="O283" i="17" s="1"/>
  <c r="O285" i="17"/>
  <c r="O329" i="17"/>
  <c r="J327" i="17"/>
  <c r="K327" i="17" s="1"/>
  <c r="P468" i="17"/>
  <c r="O472" i="17"/>
  <c r="M472" i="17"/>
  <c r="L470" i="17"/>
  <c r="O470" i="17" s="1"/>
  <c r="L533" i="17"/>
  <c r="O533" i="17" s="1"/>
  <c r="O535" i="17"/>
  <c r="L525" i="17"/>
  <c r="O525" i="17" s="1"/>
  <c r="P545" i="17"/>
  <c r="M544" i="17"/>
  <c r="P544" i="17" s="1"/>
  <c r="P738" i="17"/>
  <c r="M737" i="17"/>
  <c r="P737" i="17" s="1"/>
  <c r="P771" i="17"/>
  <c r="M770" i="17"/>
  <c r="P770" i="17" s="1"/>
  <c r="P788" i="17"/>
  <c r="M786" i="17"/>
  <c r="P786" i="17" s="1"/>
  <c r="P807" i="17"/>
  <c r="M805" i="17"/>
  <c r="P805" i="17" s="1"/>
  <c r="O182" i="17"/>
  <c r="M264" i="17"/>
  <c r="M267" i="17"/>
  <c r="P267" i="17" s="1"/>
  <c r="N280" i="17"/>
  <c r="P280" i="17" s="1"/>
  <c r="M301" i="17"/>
  <c r="P301" i="17" s="1"/>
  <c r="M304" i="17"/>
  <c r="P304" i="17" s="1"/>
  <c r="O316" i="17"/>
  <c r="L348" i="17"/>
  <c r="K374" i="17"/>
  <c r="L391" i="17"/>
  <c r="O391" i="17" s="1"/>
  <c r="O407" i="17"/>
  <c r="N419" i="17"/>
  <c r="L422" i="17"/>
  <c r="O422" i="17" s="1"/>
  <c r="I443" i="17"/>
  <c r="K443" i="17" s="1"/>
  <c r="N446" i="17"/>
  <c r="N444" i="17" s="1"/>
  <c r="N523" i="17"/>
  <c r="K568" i="17"/>
  <c r="K577" i="17"/>
  <c r="L658" i="17"/>
  <c r="O658" i="17" s="1"/>
  <c r="O660" i="17"/>
  <c r="M660" i="17"/>
  <c r="O787" i="17"/>
  <c r="I785" i="17"/>
  <c r="K785" i="17" s="1"/>
  <c r="K800" i="17"/>
  <c r="O806" i="17"/>
  <c r="L805" i="17"/>
  <c r="O805" i="17" s="1"/>
  <c r="M348" i="17"/>
  <c r="N351" i="17"/>
  <c r="O351" i="17" s="1"/>
  <c r="P353" i="17"/>
  <c r="K365" i="17"/>
  <c r="M391" i="17"/>
  <c r="K435" i="17"/>
  <c r="J433" i="17"/>
  <c r="J417" i="17" s="1"/>
  <c r="M449" i="17"/>
  <c r="O449" i="17"/>
  <c r="O479" i="17"/>
  <c r="L477" i="17"/>
  <c r="O477" i="17" s="1"/>
  <c r="M547" i="17"/>
  <c r="P547" i="17" s="1"/>
  <c r="P549" i="17"/>
  <c r="K559" i="17"/>
  <c r="O657" i="17"/>
  <c r="L655" i="17"/>
  <c r="O655" i="17" s="1"/>
  <c r="L229" i="17"/>
  <c r="I248" i="17"/>
  <c r="K248" i="17" s="1"/>
  <c r="O394" i="17"/>
  <c r="O403" i="17"/>
  <c r="L421" i="17"/>
  <c r="O421" i="17" s="1"/>
  <c r="M424" i="17"/>
  <c r="L447" i="17"/>
  <c r="O447" i="17" s="1"/>
  <c r="L469" i="17"/>
  <c r="J537" i="17"/>
  <c r="J522" i="17" s="1"/>
  <c r="K538" i="17"/>
  <c r="K560" i="17"/>
  <c r="P755" i="17"/>
  <c r="M754" i="17"/>
  <c r="P754" i="17" s="1"/>
  <c r="M347" i="17"/>
  <c r="I433" i="17"/>
  <c r="O545" i="17"/>
  <c r="K592" i="17"/>
  <c r="K651" i="17"/>
  <c r="I628" i="17"/>
  <c r="K628" i="17" s="1"/>
  <c r="I197" i="17"/>
  <c r="K197" i="17" s="1"/>
  <c r="I364" i="17"/>
  <c r="M395" i="17"/>
  <c r="P395" i="17" s="1"/>
  <c r="P445" i="17"/>
  <c r="K576" i="17"/>
  <c r="K593" i="17"/>
  <c r="P686" i="17"/>
  <c r="O503" i="17"/>
  <c r="O630" i="17"/>
  <c r="K675" i="17"/>
  <c r="K672" i="17"/>
  <c r="L688" i="17"/>
  <c r="O688" i="17" s="1"/>
  <c r="M690" i="17"/>
  <c r="M523" i="17"/>
  <c r="P523" i="17" s="1"/>
  <c r="K669" i="17"/>
  <c r="K673" i="17"/>
  <c r="I654" i="17"/>
  <c r="K654" i="17" s="1"/>
  <c r="M300" i="16"/>
  <c r="M298" i="16" s="1"/>
  <c r="I190" i="12"/>
  <c r="K190" i="12" s="1"/>
  <c r="M334" i="13"/>
  <c r="P334" i="13" s="1"/>
  <c r="M330" i="15"/>
  <c r="M328" i="15" s="1"/>
  <c r="N68" i="16"/>
  <c r="N66" i="16" s="1"/>
  <c r="P173" i="16"/>
  <c r="J288" i="16"/>
  <c r="J275" i="16" s="1"/>
  <c r="K275" i="16" s="1"/>
  <c r="P303" i="16"/>
  <c r="L347" i="16"/>
  <c r="L345" i="16" s="1"/>
  <c r="N405" i="16"/>
  <c r="L657" i="16"/>
  <c r="I297" i="14"/>
  <c r="K297" i="14" s="1"/>
  <c r="I148" i="15"/>
  <c r="K148" i="15" s="1"/>
  <c r="I197" i="15"/>
  <c r="K197" i="15" s="1"/>
  <c r="P333" i="15"/>
  <c r="M347" i="15"/>
  <c r="M345" i="15" s="1"/>
  <c r="M122" i="16"/>
  <c r="P122" i="16" s="1"/>
  <c r="N134" i="16"/>
  <c r="N132" i="16" s="1"/>
  <c r="M138" i="16"/>
  <c r="P138" i="16" s="1"/>
  <c r="M155" i="16"/>
  <c r="P155" i="16" s="1"/>
  <c r="N301" i="16"/>
  <c r="P301" i="16" s="1"/>
  <c r="L395" i="16"/>
  <c r="O395" i="16" s="1"/>
  <c r="L555" i="16"/>
  <c r="O555" i="16" s="1"/>
  <c r="N90" i="15"/>
  <c r="N88" i="15" s="1"/>
  <c r="L347" i="15"/>
  <c r="L345" i="15" s="1"/>
  <c r="I76" i="16"/>
  <c r="I64" i="16" s="1"/>
  <c r="K64" i="16" s="1"/>
  <c r="P93" i="16"/>
  <c r="L228" i="16"/>
  <c r="M334" i="16"/>
  <c r="P334" i="16" s="1"/>
  <c r="I442" i="16"/>
  <c r="K442" i="16" s="1"/>
  <c r="K628" i="16"/>
  <c r="K647" i="16"/>
  <c r="L658" i="16"/>
  <c r="O658" i="16" s="1"/>
  <c r="K374" i="15"/>
  <c r="L446" i="15"/>
  <c r="O446" i="15" s="1"/>
  <c r="O46" i="16"/>
  <c r="O71" i="16"/>
  <c r="O186" i="16"/>
  <c r="I208" i="16"/>
  <c r="K208" i="16" s="1"/>
  <c r="I260" i="16"/>
  <c r="K260" i="16" s="1"/>
  <c r="L263" i="16"/>
  <c r="L261" i="16" s="1"/>
  <c r="M263" i="16"/>
  <c r="M261" i="16" s="1"/>
  <c r="P282" i="16"/>
  <c r="P285" i="16"/>
  <c r="J327" i="16"/>
  <c r="K327" i="16" s="1"/>
  <c r="K381" i="16"/>
  <c r="M687" i="16"/>
  <c r="P687" i="16" s="1"/>
  <c r="I364" i="15"/>
  <c r="L72" i="16"/>
  <c r="O72" i="16" s="1"/>
  <c r="L134" i="16"/>
  <c r="O134" i="16" s="1"/>
  <c r="K340" i="16"/>
  <c r="L391" i="16"/>
  <c r="K443" i="16"/>
  <c r="K822" i="16"/>
  <c r="N167" i="16"/>
  <c r="N165" i="16" s="1"/>
  <c r="M392" i="13"/>
  <c r="P392" i="13" s="1"/>
  <c r="N405" i="14"/>
  <c r="K215" i="15"/>
  <c r="N391" i="15"/>
  <c r="N389" i="15" s="1"/>
  <c r="N43" i="16"/>
  <c r="N41" i="16" s="1"/>
  <c r="N121" i="16"/>
  <c r="N119" i="16" s="1"/>
  <c r="N151" i="16"/>
  <c r="N149" i="16" s="1"/>
  <c r="L171" i="16"/>
  <c r="O171" i="16" s="1"/>
  <c r="M183" i="16"/>
  <c r="M181" i="16" s="1"/>
  <c r="O58" i="15"/>
  <c r="N68" i="15"/>
  <c r="N66" i="15" s="1"/>
  <c r="O303" i="15"/>
  <c r="L469" i="15"/>
  <c r="O469" i="15" s="1"/>
  <c r="P46" i="16"/>
  <c r="L184" i="16"/>
  <c r="O184" i="16" s="1"/>
  <c r="L280" i="16"/>
  <c r="L279" i="16"/>
  <c r="L277" i="16" s="1"/>
  <c r="O333" i="16"/>
  <c r="L331" i="16"/>
  <c r="O331" i="16" s="1"/>
  <c r="O157" i="10"/>
  <c r="L300" i="15"/>
  <c r="L298" i="15" s="1"/>
  <c r="N23" i="16"/>
  <c r="N21" i="16" s="1"/>
  <c r="L26" i="16"/>
  <c r="L47" i="16"/>
  <c r="O47" i="16" s="1"/>
  <c r="K78" i="16"/>
  <c r="K100" i="16"/>
  <c r="O124" i="16"/>
  <c r="O157" i="16"/>
  <c r="L187" i="16"/>
  <c r="O187" i="16" s="1"/>
  <c r="L198" i="16"/>
  <c r="O198" i="16" s="1"/>
  <c r="P410" i="16"/>
  <c r="M404" i="16"/>
  <c r="P404" i="16" s="1"/>
  <c r="M408" i="16"/>
  <c r="P408" i="16" s="1"/>
  <c r="L421" i="16"/>
  <c r="L419" i="16" s="1"/>
  <c r="O431" i="16"/>
  <c r="O56" i="16"/>
  <c r="K224" i="15"/>
  <c r="M47" i="16"/>
  <c r="P47" i="16" s="1"/>
  <c r="L55" i="16"/>
  <c r="L53" i="16" s="1"/>
  <c r="P56" i="16"/>
  <c r="M91" i="16"/>
  <c r="P91" i="16" s="1"/>
  <c r="K98" i="16"/>
  <c r="O170" i="16"/>
  <c r="I174" i="16"/>
  <c r="K174" i="16" s="1"/>
  <c r="N263" i="16"/>
  <c r="N261" i="16" s="1"/>
  <c r="P266" i="16"/>
  <c r="O266" i="16"/>
  <c r="N264" i="16"/>
  <c r="P264" i="16" s="1"/>
  <c r="K325" i="16"/>
  <c r="I314" i="16"/>
  <c r="K314" i="16" s="1"/>
  <c r="L429" i="16"/>
  <c r="O429" i="16" s="1"/>
  <c r="L183" i="16"/>
  <c r="L181" i="16" s="1"/>
  <c r="O528" i="16"/>
  <c r="L525" i="16"/>
  <c r="O525" i="16" s="1"/>
  <c r="L632" i="16"/>
  <c r="O632" i="16" s="1"/>
  <c r="M634" i="16"/>
  <c r="M631" i="16" s="1"/>
  <c r="P631" i="16" s="1"/>
  <c r="L68" i="15"/>
  <c r="L66" i="15" s="1"/>
  <c r="N331" i="15"/>
  <c r="O331" i="15" s="1"/>
  <c r="K649" i="15"/>
  <c r="O58" i="16"/>
  <c r="O61" i="16"/>
  <c r="I112" i="16"/>
  <c r="K112" i="16" s="1"/>
  <c r="O127" i="16"/>
  <c r="O140" i="16"/>
  <c r="I148" i="16"/>
  <c r="K148" i="16" s="1"/>
  <c r="L167" i="16"/>
  <c r="L165" i="16" s="1"/>
  <c r="P189" i="16"/>
  <c r="N351" i="16"/>
  <c r="O351" i="16" s="1"/>
  <c r="O422" i="16"/>
  <c r="L217" i="16"/>
  <c r="O217" i="16" s="1"/>
  <c r="N300" i="16"/>
  <c r="N298" i="16" s="1"/>
  <c r="K372" i="16"/>
  <c r="L404" i="16"/>
  <c r="O404" i="16" s="1"/>
  <c r="K673" i="16"/>
  <c r="M279" i="16"/>
  <c r="M277" i="16" s="1"/>
  <c r="J537" i="16"/>
  <c r="J522" i="16" s="1"/>
  <c r="K674" i="16"/>
  <c r="J721" i="16"/>
  <c r="K828" i="16"/>
  <c r="O348" i="16"/>
  <c r="M660" i="16"/>
  <c r="K669" i="16"/>
  <c r="K801" i="16"/>
  <c r="L209" i="16"/>
  <c r="O209" i="16" s="1"/>
  <c r="L283" i="16"/>
  <c r="O283" i="16" s="1"/>
  <c r="O303" i="16"/>
  <c r="N318" i="16"/>
  <c r="L321" i="16"/>
  <c r="O321" i="16" s="1"/>
  <c r="K374" i="16"/>
  <c r="L405" i="16"/>
  <c r="O405" i="16" s="1"/>
  <c r="M424" i="16"/>
  <c r="M421" i="16" s="1"/>
  <c r="P421" i="16" s="1"/>
  <c r="L469" i="16"/>
  <c r="L467" i="16" s="1"/>
  <c r="O472" i="16"/>
  <c r="K708" i="16"/>
  <c r="N183" i="16"/>
  <c r="N181" i="16" s="1"/>
  <c r="O269" i="16"/>
  <c r="I522" i="16"/>
  <c r="K522" i="16" s="1"/>
  <c r="K577" i="16"/>
  <c r="L687" i="16"/>
  <c r="L685" i="16" s="1"/>
  <c r="L788" i="16"/>
  <c r="O788" i="16" s="1"/>
  <c r="N31" i="16"/>
  <c r="P154" i="16"/>
  <c r="M151" i="16"/>
  <c r="N756" i="16"/>
  <c r="N757" i="16"/>
  <c r="M59" i="15"/>
  <c r="P59" i="15" s="1"/>
  <c r="N94" i="15"/>
  <c r="N167" i="15"/>
  <c r="N165" i="15" s="1"/>
  <c r="N183" i="15"/>
  <c r="N181" i="15" s="1"/>
  <c r="K193" i="15"/>
  <c r="M264" i="15"/>
  <c r="P264" i="15" s="1"/>
  <c r="M334" i="15"/>
  <c r="P334" i="15" s="1"/>
  <c r="N330" i="15"/>
  <c r="N328" i="15" s="1"/>
  <c r="L470" i="15"/>
  <c r="O470" i="15" s="1"/>
  <c r="L477" i="15"/>
  <c r="O477" i="15" s="1"/>
  <c r="O479" i="15"/>
  <c r="L23" i="16"/>
  <c r="L21" i="16" s="1"/>
  <c r="N29" i="16"/>
  <c r="N28" i="16" s="1"/>
  <c r="N59" i="16"/>
  <c r="P59" i="16" s="1"/>
  <c r="L68" i="16"/>
  <c r="O68" i="16" s="1"/>
  <c r="O91" i="16"/>
  <c r="L121" i="16"/>
  <c r="O121" i="16" s="1"/>
  <c r="L135" i="16"/>
  <c r="O135" i="16" s="1"/>
  <c r="O137" i="16"/>
  <c r="M152" i="16"/>
  <c r="P152" i="16" s="1"/>
  <c r="M168" i="16"/>
  <c r="P168" i="16" s="1"/>
  <c r="M167" i="16"/>
  <c r="P170" i="16"/>
  <c r="I190" i="16"/>
  <c r="K190" i="16" s="1"/>
  <c r="L321" i="10"/>
  <c r="O321" i="10" s="1"/>
  <c r="P71" i="15"/>
  <c r="L230" i="15"/>
  <c r="M317" i="15"/>
  <c r="P317" i="15" s="1"/>
  <c r="P336" i="15"/>
  <c r="L405" i="15"/>
  <c r="O405" i="15" s="1"/>
  <c r="L12" i="16"/>
  <c r="M23" i="16"/>
  <c r="M121" i="16"/>
  <c r="P137" i="16"/>
  <c r="M134" i="16"/>
  <c r="O168" i="16"/>
  <c r="P182" i="16"/>
  <c r="M184" i="16"/>
  <c r="P184" i="16" s="1"/>
  <c r="P186" i="16"/>
  <c r="L229" i="16"/>
  <c r="O420" i="16"/>
  <c r="L279" i="15"/>
  <c r="I297" i="15"/>
  <c r="K297" i="15" s="1"/>
  <c r="L318" i="15"/>
  <c r="O318" i="15" s="1"/>
  <c r="K359" i="15"/>
  <c r="N12" i="16"/>
  <c r="M15" i="16"/>
  <c r="O32" i="16"/>
  <c r="N26" i="16"/>
  <c r="N16" i="16" s="1"/>
  <c r="M55" i="16"/>
  <c r="O89" i="16"/>
  <c r="M135" i="16"/>
  <c r="P135" i="16" s="1"/>
  <c r="M135" i="14"/>
  <c r="P135" i="14" s="1"/>
  <c r="I233" i="14"/>
  <c r="K233" i="14" s="1"/>
  <c r="I237" i="14"/>
  <c r="K237" i="14" s="1"/>
  <c r="M55" i="15"/>
  <c r="M72" i="15"/>
  <c r="P72" i="15" s="1"/>
  <c r="L90" i="15"/>
  <c r="L88" i="15" s="1"/>
  <c r="L304" i="15"/>
  <c r="O304" i="15" s="1"/>
  <c r="J327" i="15"/>
  <c r="K327" i="15" s="1"/>
  <c r="J722" i="15"/>
  <c r="I785" i="15"/>
  <c r="K823" i="15"/>
  <c r="P22" i="16"/>
  <c r="M19" i="16"/>
  <c r="M12" i="16"/>
  <c r="M26" i="16"/>
  <c r="M34" i="16"/>
  <c r="P34" i="16" s="1"/>
  <c r="P42" i="16"/>
  <c r="N55" i="16"/>
  <c r="P61" i="16"/>
  <c r="K81" i="16"/>
  <c r="L90" i="16"/>
  <c r="O93" i="16"/>
  <c r="K145" i="16"/>
  <c r="I143" i="16"/>
  <c r="J143" i="16"/>
  <c r="J131" i="16" s="1"/>
  <c r="P166" i="16"/>
  <c r="K204" i="16"/>
  <c r="I197" i="16"/>
  <c r="K197" i="16" s="1"/>
  <c r="J226" i="16"/>
  <c r="J180" i="16" s="1"/>
  <c r="N330" i="16"/>
  <c r="N328" i="16" s="1"/>
  <c r="N334" i="16"/>
  <c r="L151" i="15"/>
  <c r="L149" i="15" s="1"/>
  <c r="I260" i="15"/>
  <c r="K260" i="15" s="1"/>
  <c r="K701" i="15"/>
  <c r="O19" i="16"/>
  <c r="L29" i="16"/>
  <c r="L43" i="16"/>
  <c r="P58" i="16"/>
  <c r="M90" i="16"/>
  <c r="I130" i="16"/>
  <c r="K130" i="16" s="1"/>
  <c r="K146" i="16"/>
  <c r="L152" i="16"/>
  <c r="O152" i="16" s="1"/>
  <c r="O154" i="16"/>
  <c r="O262" i="16"/>
  <c r="M304" i="16"/>
  <c r="P304" i="16" s="1"/>
  <c r="P306" i="16"/>
  <c r="N33" i="16"/>
  <c r="N30" i="16" s="1"/>
  <c r="P316" i="16"/>
  <c r="P323" i="16"/>
  <c r="M321" i="16"/>
  <c r="P321" i="16" s="1"/>
  <c r="P420" i="16"/>
  <c r="I434" i="16"/>
  <c r="K438" i="16"/>
  <c r="P756" i="16"/>
  <c r="M754" i="16"/>
  <c r="P754" i="16" s="1"/>
  <c r="L330" i="16"/>
  <c r="M348" i="16"/>
  <c r="P348" i="16" s="1"/>
  <c r="P350" i="16"/>
  <c r="M469" i="16"/>
  <c r="P469" i="16" s="1"/>
  <c r="M470" i="16"/>
  <c r="P470" i="16" s="1"/>
  <c r="P472" i="16"/>
  <c r="K244" i="16"/>
  <c r="I237" i="16"/>
  <c r="I233" i="16"/>
  <c r="K233" i="16" s="1"/>
  <c r="K255" i="16"/>
  <c r="I248" i="16"/>
  <c r="K248" i="16" s="1"/>
  <c r="P333" i="16"/>
  <c r="M330" i="16"/>
  <c r="J355" i="16"/>
  <c r="K355" i="16" s="1"/>
  <c r="K362" i="16"/>
  <c r="M392" i="16"/>
  <c r="P392" i="16" s="1"/>
  <c r="P394" i="16"/>
  <c r="M391" i="16"/>
  <c r="P391" i="16" s="1"/>
  <c r="P555" i="16"/>
  <c r="M545" i="16"/>
  <c r="N687" i="16"/>
  <c r="N685" i="16" s="1"/>
  <c r="N688" i="16"/>
  <c r="P688" i="16" s="1"/>
  <c r="O690" i="16"/>
  <c r="L238" i="16"/>
  <c r="L249" i="16"/>
  <c r="O249" i="16" s="1"/>
  <c r="N280" i="16"/>
  <c r="O282" i="16"/>
  <c r="P320" i="16"/>
  <c r="M318" i="16"/>
  <c r="P318" i="16" s="1"/>
  <c r="M331" i="16"/>
  <c r="P331" i="16" s="1"/>
  <c r="O789" i="16"/>
  <c r="K360" i="16"/>
  <c r="O424" i="16"/>
  <c r="L502" i="16"/>
  <c r="O502" i="16" s="1"/>
  <c r="O634" i="16"/>
  <c r="O755" i="16"/>
  <c r="L754" i="16"/>
  <c r="O754" i="16" s="1"/>
  <c r="O546" i="16"/>
  <c r="L544" i="16"/>
  <c r="O544" i="16" s="1"/>
  <c r="P772" i="16"/>
  <c r="M770" i="16"/>
  <c r="P770" i="16" s="1"/>
  <c r="P806" i="16"/>
  <c r="M805" i="16"/>
  <c r="P805" i="16" s="1"/>
  <c r="L447" i="16"/>
  <c r="O447" i="16" s="1"/>
  <c r="O449" i="16"/>
  <c r="P503" i="16"/>
  <c r="M502" i="16"/>
  <c r="P502" i="16" s="1"/>
  <c r="O549" i="16"/>
  <c r="M549" i="16"/>
  <c r="P630" i="16"/>
  <c r="O686" i="16"/>
  <c r="N754" i="16"/>
  <c r="O771" i="16"/>
  <c r="L770" i="16"/>
  <c r="O770" i="16" s="1"/>
  <c r="L334" i="16"/>
  <c r="O334" i="16" s="1"/>
  <c r="O336" i="16"/>
  <c r="M351" i="16"/>
  <c r="P353" i="16"/>
  <c r="K378" i="16"/>
  <c r="P390" i="16"/>
  <c r="M449" i="16"/>
  <c r="K462" i="16"/>
  <c r="N467" i="16"/>
  <c r="K540" i="16"/>
  <c r="L547" i="16"/>
  <c r="O547" i="16" s="1"/>
  <c r="I592" i="16"/>
  <c r="K592" i="16" s="1"/>
  <c r="K593" i="16"/>
  <c r="J722" i="16"/>
  <c r="P739" i="16"/>
  <c r="M737" i="16"/>
  <c r="P737" i="16" s="1"/>
  <c r="P346" i="16"/>
  <c r="I364" i="16"/>
  <c r="M395" i="16"/>
  <c r="P395" i="16" s="1"/>
  <c r="P397" i="16"/>
  <c r="O445" i="16"/>
  <c r="L444" i="16"/>
  <c r="O444" i="16" s="1"/>
  <c r="I559" i="16"/>
  <c r="K576" i="16"/>
  <c r="P690" i="16"/>
  <c r="O738" i="16"/>
  <c r="L737" i="16"/>
  <c r="O737" i="16" s="1"/>
  <c r="N770" i="16"/>
  <c r="N773" i="16"/>
  <c r="O791" i="16"/>
  <c r="M791" i="16"/>
  <c r="O350" i="16"/>
  <c r="O353" i="16"/>
  <c r="J365" i="16"/>
  <c r="J364" i="16" s="1"/>
  <c r="J433" i="16"/>
  <c r="J417" i="16" s="1"/>
  <c r="L470" i="16"/>
  <c r="O470" i="16" s="1"/>
  <c r="L477" i="16"/>
  <c r="O477" i="16" s="1"/>
  <c r="K675" i="16"/>
  <c r="L688" i="16"/>
  <c r="M90" i="14"/>
  <c r="M88" i="14" s="1"/>
  <c r="M121" i="14"/>
  <c r="P121" i="14" s="1"/>
  <c r="M155" i="14"/>
  <c r="P155" i="14" s="1"/>
  <c r="L59" i="15"/>
  <c r="O59" i="15" s="1"/>
  <c r="M122" i="15"/>
  <c r="P122" i="15" s="1"/>
  <c r="N151" i="15"/>
  <c r="P154" i="15"/>
  <c r="O157" i="15"/>
  <c r="K255" i="15"/>
  <c r="N280" i="15"/>
  <c r="O280" i="15" s="1"/>
  <c r="O282" i="15"/>
  <c r="N301" i="15"/>
  <c r="O301" i="15" s="1"/>
  <c r="K340" i="15"/>
  <c r="K360" i="15"/>
  <c r="K378" i="15"/>
  <c r="K462" i="15"/>
  <c r="L525" i="15"/>
  <c r="O525" i="15" s="1"/>
  <c r="K255" i="14"/>
  <c r="I276" i="14"/>
  <c r="K276" i="14" s="1"/>
  <c r="M47" i="15"/>
  <c r="P47" i="15" s="1"/>
  <c r="I112" i="15"/>
  <c r="K112" i="15" s="1"/>
  <c r="O184" i="15"/>
  <c r="P285" i="15"/>
  <c r="M318" i="15"/>
  <c r="P318" i="15" s="1"/>
  <c r="M321" i="15"/>
  <c r="P321" i="15" s="1"/>
  <c r="I559" i="15"/>
  <c r="K559" i="15" s="1"/>
  <c r="L687" i="15"/>
  <c r="L685" i="15" s="1"/>
  <c r="L90" i="14"/>
  <c r="L88" i="14" s="1"/>
  <c r="O91" i="15"/>
  <c r="P353" i="15"/>
  <c r="K379" i="15"/>
  <c r="M392" i="15"/>
  <c r="P392" i="15" s="1"/>
  <c r="M391" i="15"/>
  <c r="M389" i="15" s="1"/>
  <c r="P389" i="15" s="1"/>
  <c r="L404" i="15"/>
  <c r="O404" i="15" s="1"/>
  <c r="N404" i="15"/>
  <c r="N402" i="15" s="1"/>
  <c r="L421" i="15"/>
  <c r="L419" i="15" s="1"/>
  <c r="O419" i="15" s="1"/>
  <c r="M449" i="15"/>
  <c r="M447" i="15" s="1"/>
  <c r="P58" i="15"/>
  <c r="O152" i="15"/>
  <c r="M183" i="15"/>
  <c r="M181" i="15" s="1"/>
  <c r="O353" i="15"/>
  <c r="L408" i="15"/>
  <c r="O408" i="15" s="1"/>
  <c r="L36" i="15"/>
  <c r="O36" i="15" s="1"/>
  <c r="N279" i="13"/>
  <c r="N277" i="13" s="1"/>
  <c r="K651" i="13"/>
  <c r="O660" i="13"/>
  <c r="P303" i="14"/>
  <c r="L209" i="15"/>
  <c r="O209" i="15" s="1"/>
  <c r="N300" i="15"/>
  <c r="N298" i="15" s="1"/>
  <c r="K355" i="15"/>
  <c r="K369" i="15"/>
  <c r="K385" i="15"/>
  <c r="O397" i="15"/>
  <c r="I434" i="15"/>
  <c r="I418" i="15" s="1"/>
  <c r="K418" i="15" s="1"/>
  <c r="L447" i="15"/>
  <c r="O449" i="15"/>
  <c r="O535" i="15"/>
  <c r="O285" i="14"/>
  <c r="L283" i="14"/>
  <c r="O283" i="14" s="1"/>
  <c r="L125" i="15"/>
  <c r="O125" i="15" s="1"/>
  <c r="O127" i="15"/>
  <c r="M155" i="15"/>
  <c r="P155" i="15" s="1"/>
  <c r="P157" i="15"/>
  <c r="L183" i="15"/>
  <c r="M267" i="15"/>
  <c r="P267" i="15" s="1"/>
  <c r="M263" i="15"/>
  <c r="P269" i="15"/>
  <c r="L33" i="15"/>
  <c r="M549" i="15"/>
  <c r="L546" i="15"/>
  <c r="L544" i="15" s="1"/>
  <c r="O544" i="15" s="1"/>
  <c r="L547" i="15"/>
  <c r="N183" i="14"/>
  <c r="N181" i="14" s="1"/>
  <c r="L280" i="14"/>
  <c r="O280" i="14" s="1"/>
  <c r="L279" i="14"/>
  <c r="L277" i="14" s="1"/>
  <c r="L43" i="14"/>
  <c r="L41" i="14" s="1"/>
  <c r="L55" i="14"/>
  <c r="L53" i="14" s="1"/>
  <c r="P269" i="14"/>
  <c r="M263" i="14"/>
  <c r="M261" i="14" s="1"/>
  <c r="O49" i="15"/>
  <c r="L26" i="15"/>
  <c r="L47" i="15"/>
  <c r="O47" i="15" s="1"/>
  <c r="L43" i="15"/>
  <c r="L41" i="15" s="1"/>
  <c r="M280" i="15"/>
  <c r="P282" i="15"/>
  <c r="M279" i="15"/>
  <c r="O660" i="15"/>
  <c r="L657" i="15"/>
  <c r="O657" i="15" s="1"/>
  <c r="K672" i="15"/>
  <c r="K669" i="15"/>
  <c r="K673" i="15"/>
  <c r="N135" i="15"/>
  <c r="P135" i="15" s="1"/>
  <c r="N134" i="15"/>
  <c r="N132" i="15" s="1"/>
  <c r="M301" i="15"/>
  <c r="M300" i="15"/>
  <c r="M298" i="15" s="1"/>
  <c r="O323" i="15"/>
  <c r="L321" i="15"/>
  <c r="O321" i="15" s="1"/>
  <c r="L317" i="15"/>
  <c r="O317" i="15" s="1"/>
  <c r="M395" i="15"/>
  <c r="P395" i="15" s="1"/>
  <c r="P397" i="15"/>
  <c r="M183" i="9"/>
  <c r="M181" i="9" s="1"/>
  <c r="K378" i="13"/>
  <c r="L68" i="14"/>
  <c r="L66" i="14" s="1"/>
  <c r="N90" i="14"/>
  <c r="N88" i="14" s="1"/>
  <c r="O189" i="14"/>
  <c r="L187" i="14"/>
  <c r="O187" i="14" s="1"/>
  <c r="N23" i="15"/>
  <c r="N44" i="15"/>
  <c r="P44" i="15" s="1"/>
  <c r="N43" i="15"/>
  <c r="N41" i="15" s="1"/>
  <c r="J143" i="15"/>
  <c r="J131" i="15" s="1"/>
  <c r="K145" i="15"/>
  <c r="I143" i="15"/>
  <c r="L334" i="15"/>
  <c r="O334" i="15" s="1"/>
  <c r="L330" i="15"/>
  <c r="L328" i="15" s="1"/>
  <c r="O336" i="15"/>
  <c r="P350" i="15"/>
  <c r="N347" i="15"/>
  <c r="N345" i="15" s="1"/>
  <c r="M791" i="15"/>
  <c r="M788" i="15" s="1"/>
  <c r="L788" i="15"/>
  <c r="L786" i="15" s="1"/>
  <c r="O786" i="15" s="1"/>
  <c r="L789" i="15"/>
  <c r="J785" i="15"/>
  <c r="K801" i="15"/>
  <c r="M304" i="13"/>
  <c r="P304" i="13" s="1"/>
  <c r="P46" i="14"/>
  <c r="M68" i="14"/>
  <c r="M66" i="14" s="1"/>
  <c r="L94" i="14"/>
  <c r="O94" i="14" s="1"/>
  <c r="L183" i="14"/>
  <c r="O183" i="14" s="1"/>
  <c r="L184" i="14"/>
  <c r="L121" i="15"/>
  <c r="N348" i="15"/>
  <c r="P348" i="15" s="1"/>
  <c r="N405" i="15"/>
  <c r="M330" i="14"/>
  <c r="M328" i="14" s="1"/>
  <c r="N347" i="14"/>
  <c r="N345" i="14" s="1"/>
  <c r="N26" i="15"/>
  <c r="N16" i="15" s="1"/>
  <c r="N14" i="15" s="1"/>
  <c r="L55" i="15"/>
  <c r="M69" i="15"/>
  <c r="P69" i="15" s="1"/>
  <c r="K146" i="15"/>
  <c r="M351" i="15"/>
  <c r="M404" i="15"/>
  <c r="P404" i="15" s="1"/>
  <c r="J433" i="15"/>
  <c r="J417" i="15" s="1"/>
  <c r="K460" i="15"/>
  <c r="K560" i="15"/>
  <c r="M334" i="14"/>
  <c r="P334" i="14" s="1"/>
  <c r="O46" i="15"/>
  <c r="L167" i="15"/>
  <c r="L217" i="15"/>
  <c r="O217" i="15" s="1"/>
  <c r="L229" i="15"/>
  <c r="L283" i="15"/>
  <c r="O283" i="15" s="1"/>
  <c r="N351" i="15"/>
  <c r="O351" i="15" s="1"/>
  <c r="K435" i="15"/>
  <c r="M472" i="15"/>
  <c r="P472" i="15" s="1"/>
  <c r="O528" i="15"/>
  <c r="J327" i="14"/>
  <c r="K327" i="14" s="1"/>
  <c r="L405" i="14"/>
  <c r="O405" i="14" s="1"/>
  <c r="P46" i="15"/>
  <c r="O93" i="15"/>
  <c r="P137" i="15"/>
  <c r="P140" i="15"/>
  <c r="M152" i="15"/>
  <c r="P152" i="15" s="1"/>
  <c r="O154" i="15"/>
  <c r="N168" i="15"/>
  <c r="O168" i="15" s="1"/>
  <c r="L198" i="15"/>
  <c r="O198" i="15" s="1"/>
  <c r="O266" i="15"/>
  <c r="K370" i="15"/>
  <c r="L391" i="15"/>
  <c r="L389" i="15" s="1"/>
  <c r="O389" i="15" s="1"/>
  <c r="O394" i="15"/>
  <c r="P410" i="15"/>
  <c r="M167" i="14"/>
  <c r="M165" i="14" s="1"/>
  <c r="K822" i="14"/>
  <c r="K825" i="14"/>
  <c r="K828" i="14"/>
  <c r="M121" i="15"/>
  <c r="O350" i="15"/>
  <c r="K381" i="15"/>
  <c r="K651" i="15"/>
  <c r="O791" i="15"/>
  <c r="O549" i="15"/>
  <c r="J721" i="15"/>
  <c r="M91" i="15"/>
  <c r="P91" i="15" s="1"/>
  <c r="P93" i="15"/>
  <c r="M171" i="15"/>
  <c r="P171" i="15" s="1"/>
  <c r="P173" i="15"/>
  <c r="I417" i="15"/>
  <c r="N504" i="15"/>
  <c r="N502" i="15" s="1"/>
  <c r="N505" i="15"/>
  <c r="L167" i="12"/>
  <c r="K720" i="12"/>
  <c r="N167" i="13"/>
  <c r="N165" i="13" s="1"/>
  <c r="N94" i="14"/>
  <c r="N184" i="14"/>
  <c r="I190" i="14"/>
  <c r="K190" i="14" s="1"/>
  <c r="L230" i="14"/>
  <c r="I314" i="14"/>
  <c r="K314" i="14" s="1"/>
  <c r="L657" i="14"/>
  <c r="O657" i="14" s="1"/>
  <c r="O660" i="14"/>
  <c r="M34" i="15"/>
  <c r="P34" i="15" s="1"/>
  <c r="M43" i="15"/>
  <c r="P89" i="15"/>
  <c r="I87" i="15"/>
  <c r="K87" i="15" s="1"/>
  <c r="K99" i="15"/>
  <c r="M138" i="15"/>
  <c r="P138" i="15" s="1"/>
  <c r="P166" i="15"/>
  <c r="M184" i="15"/>
  <c r="P184" i="15" s="1"/>
  <c r="P186" i="15"/>
  <c r="I233" i="15"/>
  <c r="K233" i="15" s="1"/>
  <c r="K244" i="15"/>
  <c r="I237" i="15"/>
  <c r="I314" i="15"/>
  <c r="K314" i="15" s="1"/>
  <c r="K325" i="15"/>
  <c r="N739" i="15"/>
  <c r="N737" i="15" s="1"/>
  <c r="N740" i="15"/>
  <c r="N772" i="15"/>
  <c r="N770" i="15" s="1"/>
  <c r="N414" i="15" s="1"/>
  <c r="N773" i="15"/>
  <c r="M151" i="14"/>
  <c r="M149" i="14" s="1"/>
  <c r="M301" i="14"/>
  <c r="L304" i="14"/>
  <c r="O304" i="14" s="1"/>
  <c r="O348" i="14"/>
  <c r="K378" i="14"/>
  <c r="K381" i="14"/>
  <c r="L391" i="14"/>
  <c r="O391" i="14" s="1"/>
  <c r="O535" i="14"/>
  <c r="L12" i="15"/>
  <c r="L19" i="15"/>
  <c r="M26" i="15"/>
  <c r="M68" i="15"/>
  <c r="L69" i="15"/>
  <c r="O69" i="15" s="1"/>
  <c r="O71" i="15"/>
  <c r="M94" i="15"/>
  <c r="P94" i="15" s="1"/>
  <c r="P96" i="15"/>
  <c r="M187" i="15"/>
  <c r="P187" i="15" s="1"/>
  <c r="P189" i="15"/>
  <c r="J364" i="15"/>
  <c r="K365" i="15"/>
  <c r="N167" i="12"/>
  <c r="N165" i="12" s="1"/>
  <c r="P93" i="13"/>
  <c r="K385" i="13"/>
  <c r="I76" i="14"/>
  <c r="K76" i="14" s="1"/>
  <c r="I148" i="14"/>
  <c r="K148" i="14" s="1"/>
  <c r="P152" i="14"/>
  <c r="P280" i="14"/>
  <c r="P333" i="14"/>
  <c r="K359" i="14"/>
  <c r="K560" i="14"/>
  <c r="M12" i="15"/>
  <c r="M19" i="15"/>
  <c r="N33" i="15"/>
  <c r="O67" i="15"/>
  <c r="L72" i="15"/>
  <c r="O72" i="15" s="1"/>
  <c r="O74" i="15"/>
  <c r="I76" i="15"/>
  <c r="K82" i="15"/>
  <c r="P182" i="15"/>
  <c r="L238" i="15"/>
  <c r="L228" i="15"/>
  <c r="L249" i="15"/>
  <c r="O249" i="15" s="1"/>
  <c r="I276" i="15"/>
  <c r="K276" i="15" s="1"/>
  <c r="L23" i="15"/>
  <c r="M90" i="15"/>
  <c r="M134" i="15"/>
  <c r="L135" i="15"/>
  <c r="O137" i="15"/>
  <c r="I174" i="15"/>
  <c r="K176" i="15"/>
  <c r="O264" i="15"/>
  <c r="O468" i="15"/>
  <c r="M424" i="13"/>
  <c r="P424" i="13" s="1"/>
  <c r="L300" i="14"/>
  <c r="L298" i="14" s="1"/>
  <c r="K372" i="14"/>
  <c r="M23" i="15"/>
  <c r="M21" i="15" s="1"/>
  <c r="L44" i="15"/>
  <c r="K79" i="15"/>
  <c r="I77" i="15"/>
  <c r="O133" i="15"/>
  <c r="L138" i="15"/>
  <c r="O138" i="15" s="1"/>
  <c r="O140" i="15"/>
  <c r="M168" i="15"/>
  <c r="P170" i="15"/>
  <c r="P299" i="15"/>
  <c r="O170" i="15"/>
  <c r="O173" i="15"/>
  <c r="O186" i="15"/>
  <c r="O189" i="15"/>
  <c r="P306" i="15"/>
  <c r="N317" i="15"/>
  <c r="N315" i="15" s="1"/>
  <c r="O333" i="15"/>
  <c r="K338" i="15"/>
  <c r="K372" i="15"/>
  <c r="P407" i="15"/>
  <c r="L422" i="15"/>
  <c r="O422" i="15" s="1"/>
  <c r="M424" i="15"/>
  <c r="N447" i="15"/>
  <c r="N655" i="15"/>
  <c r="P690" i="15"/>
  <c r="M687" i="15"/>
  <c r="O299" i="15"/>
  <c r="P403" i="15"/>
  <c r="I522" i="15"/>
  <c r="K522" i="15" s="1"/>
  <c r="K537" i="15"/>
  <c r="J592" i="15"/>
  <c r="K592" i="15" s="1"/>
  <c r="K593" i="15"/>
  <c r="N687" i="15"/>
  <c r="N685" i="15" s="1"/>
  <c r="N688" i="15"/>
  <c r="P688" i="15" s="1"/>
  <c r="O806" i="15"/>
  <c r="L805" i="15"/>
  <c r="O805" i="15" s="1"/>
  <c r="I275" i="15"/>
  <c r="J288" i="15"/>
  <c r="J275" i="15" s="1"/>
  <c r="P303" i="15"/>
  <c r="J537" i="15"/>
  <c r="J522" i="15" s="1"/>
  <c r="K577" i="15"/>
  <c r="L754" i="15"/>
  <c r="O754" i="15" s="1"/>
  <c r="N756" i="15"/>
  <c r="N754" i="15" s="1"/>
  <c r="N757" i="15"/>
  <c r="M805" i="15"/>
  <c r="P805" i="15" s="1"/>
  <c r="P316" i="15"/>
  <c r="L429" i="15"/>
  <c r="O429" i="15" s="1"/>
  <c r="O431" i="15"/>
  <c r="P524" i="15"/>
  <c r="M523" i="15"/>
  <c r="P523" i="15" s="1"/>
  <c r="K569" i="15"/>
  <c r="K620" i="15"/>
  <c r="L632" i="15"/>
  <c r="O632" i="15" s="1"/>
  <c r="O634" i="15"/>
  <c r="M634" i="15"/>
  <c r="L639" i="15"/>
  <c r="O639" i="15" s="1"/>
  <c r="O641" i="15"/>
  <c r="O504" i="15"/>
  <c r="L502" i="15"/>
  <c r="O502" i="15" s="1"/>
  <c r="K561" i="15"/>
  <c r="O631" i="15"/>
  <c r="L629" i="15"/>
  <c r="O629" i="15" s="1"/>
  <c r="O739" i="15"/>
  <c r="L737" i="15"/>
  <c r="O737" i="15" s="1"/>
  <c r="P545" i="15"/>
  <c r="O656" i="15"/>
  <c r="K674" i="15"/>
  <c r="O690" i="15"/>
  <c r="I654" i="15"/>
  <c r="K654" i="15" s="1"/>
  <c r="L658" i="15"/>
  <c r="O658" i="15" s="1"/>
  <c r="N789" i="15"/>
  <c r="N547" i="15"/>
  <c r="K675" i="15"/>
  <c r="I628" i="15"/>
  <c r="K628" i="15" s="1"/>
  <c r="L688" i="15"/>
  <c r="O688" i="15" s="1"/>
  <c r="N68" i="14"/>
  <c r="N66" i="14" s="1"/>
  <c r="L69" i="13"/>
  <c r="O69" i="13" s="1"/>
  <c r="I628" i="13"/>
  <c r="K628" i="13" s="1"/>
  <c r="N44" i="14"/>
  <c r="P44" i="14" s="1"/>
  <c r="O58" i="14"/>
  <c r="P69" i="14"/>
  <c r="P71" i="14"/>
  <c r="N135" i="14"/>
  <c r="J288" i="14"/>
  <c r="K340" i="14"/>
  <c r="L446" i="14"/>
  <c r="O446" i="14" s="1"/>
  <c r="L36" i="14"/>
  <c r="O36" i="14" s="1"/>
  <c r="K628" i="14"/>
  <c r="K651" i="14"/>
  <c r="L688" i="14"/>
  <c r="O688" i="14" s="1"/>
  <c r="L330" i="12"/>
  <c r="L328" i="12" s="1"/>
  <c r="K725" i="13"/>
  <c r="M47" i="14"/>
  <c r="P47" i="14" s="1"/>
  <c r="L121" i="14"/>
  <c r="L119" i="14" s="1"/>
  <c r="O119" i="14" s="1"/>
  <c r="J143" i="14"/>
  <c r="J131" i="14" s="1"/>
  <c r="L167" i="14"/>
  <c r="L165" i="14" s="1"/>
  <c r="M267" i="14"/>
  <c r="P267" i="14" s="1"/>
  <c r="K370" i="14"/>
  <c r="L404" i="14"/>
  <c r="L402" i="14" s="1"/>
  <c r="O402" i="14" s="1"/>
  <c r="L421" i="14"/>
  <c r="O421" i="14" s="1"/>
  <c r="L454" i="14"/>
  <c r="O454" i="14" s="1"/>
  <c r="K649" i="14"/>
  <c r="J721" i="14"/>
  <c r="L788" i="14"/>
  <c r="O788" i="14" s="1"/>
  <c r="L639" i="5"/>
  <c r="O639" i="5" s="1"/>
  <c r="L171" i="12"/>
  <c r="O171" i="12" s="1"/>
  <c r="N121" i="14"/>
  <c r="N119" i="14" s="1"/>
  <c r="N151" i="14"/>
  <c r="N149" i="14" s="1"/>
  <c r="I174" i="14"/>
  <c r="L231" i="14"/>
  <c r="O351" i="14"/>
  <c r="K255" i="12"/>
  <c r="L209" i="13"/>
  <c r="O209" i="13" s="1"/>
  <c r="M122" i="14"/>
  <c r="P122" i="14" s="1"/>
  <c r="M125" i="14"/>
  <c r="P125" i="14" s="1"/>
  <c r="O127" i="14"/>
  <c r="O154" i="14"/>
  <c r="N167" i="14"/>
  <c r="N165" i="14" s="1"/>
  <c r="L469" i="14"/>
  <c r="O469" i="14" s="1"/>
  <c r="O479" i="14"/>
  <c r="P69" i="12"/>
  <c r="M267" i="12"/>
  <c r="P267" i="12" s="1"/>
  <c r="L33" i="14"/>
  <c r="L31" i="14" s="1"/>
  <c r="O31" i="14" s="1"/>
  <c r="M55" i="14"/>
  <c r="M53" i="14" s="1"/>
  <c r="O303" i="14"/>
  <c r="N317" i="14"/>
  <c r="N315" i="14" s="1"/>
  <c r="K379" i="14"/>
  <c r="M392" i="14"/>
  <c r="P392" i="14" s="1"/>
  <c r="L408" i="14"/>
  <c r="O408" i="14" s="1"/>
  <c r="J433" i="14"/>
  <c r="J417" i="14" s="1"/>
  <c r="K823" i="14"/>
  <c r="K826" i="14"/>
  <c r="L47" i="13"/>
  <c r="O47" i="13" s="1"/>
  <c r="M91" i="13"/>
  <c r="O93" i="13"/>
  <c r="O96" i="13"/>
  <c r="K159" i="13"/>
  <c r="L231" i="13"/>
  <c r="L321" i="13"/>
  <c r="O321" i="13" s="1"/>
  <c r="I364" i="13"/>
  <c r="M395" i="13"/>
  <c r="P395" i="13" s="1"/>
  <c r="L547" i="13"/>
  <c r="O547" i="13" s="1"/>
  <c r="L546" i="13"/>
  <c r="L544" i="13" s="1"/>
  <c r="O544" i="13" s="1"/>
  <c r="N43" i="14"/>
  <c r="N41" i="14" s="1"/>
  <c r="N72" i="14"/>
  <c r="P74" i="14"/>
  <c r="L155" i="14"/>
  <c r="O155" i="14" s="1"/>
  <c r="O157" i="14"/>
  <c r="I208" i="14"/>
  <c r="K208" i="14" s="1"/>
  <c r="K215" i="14"/>
  <c r="P285" i="14"/>
  <c r="M279" i="14"/>
  <c r="M321" i="14"/>
  <c r="P321" i="14" s="1"/>
  <c r="M317" i="14"/>
  <c r="P317" i="14" s="1"/>
  <c r="O58" i="12"/>
  <c r="K465" i="13"/>
  <c r="O557" i="13"/>
  <c r="K620" i="13"/>
  <c r="L639" i="13"/>
  <c r="O639" i="13" s="1"/>
  <c r="N23" i="14"/>
  <c r="N21" i="14" s="1"/>
  <c r="N55" i="14"/>
  <c r="O56" i="14"/>
  <c r="I77" i="14"/>
  <c r="I65" i="14" s="1"/>
  <c r="K65" i="14" s="1"/>
  <c r="K81" i="14"/>
  <c r="O269" i="14"/>
  <c r="L263" i="14"/>
  <c r="L261" i="14" s="1"/>
  <c r="L267" i="14"/>
  <c r="O267" i="14" s="1"/>
  <c r="L331" i="14"/>
  <c r="O331" i="14" s="1"/>
  <c r="L330" i="14"/>
  <c r="P56" i="12"/>
  <c r="K325" i="12"/>
  <c r="L331" i="12"/>
  <c r="O331" i="12" s="1"/>
  <c r="L334" i="12"/>
  <c r="O334" i="12" s="1"/>
  <c r="M68" i="13"/>
  <c r="P68" i="13" s="1"/>
  <c r="P140" i="13"/>
  <c r="K369" i="13"/>
  <c r="K372" i="13"/>
  <c r="P58" i="14"/>
  <c r="L151" i="14"/>
  <c r="I197" i="14"/>
  <c r="K197" i="14" s="1"/>
  <c r="K204" i="14"/>
  <c r="L228" i="14"/>
  <c r="L249" i="14"/>
  <c r="O249" i="14" s="1"/>
  <c r="M283" i="14"/>
  <c r="P283" i="14" s="1"/>
  <c r="P350" i="14"/>
  <c r="M347" i="14"/>
  <c r="M348" i="14"/>
  <c r="P348" i="14" s="1"/>
  <c r="P61" i="14"/>
  <c r="I216" i="14"/>
  <c r="K216" i="14" s="1"/>
  <c r="K224" i="14"/>
  <c r="L238" i="14"/>
  <c r="O238" i="14" s="1"/>
  <c r="N264" i="14"/>
  <c r="O264" i="14" s="1"/>
  <c r="N263" i="14"/>
  <c r="N261" i="14" s="1"/>
  <c r="M300" i="14"/>
  <c r="P306" i="14"/>
  <c r="P407" i="14"/>
  <c r="M404" i="14"/>
  <c r="N404" i="13"/>
  <c r="N402" i="13" s="1"/>
  <c r="K116" i="14"/>
  <c r="I112" i="14"/>
  <c r="K112" i="14" s="1"/>
  <c r="L546" i="14"/>
  <c r="O557" i="14"/>
  <c r="P46" i="13"/>
  <c r="N151" i="13"/>
  <c r="N149" i="13" s="1"/>
  <c r="N392" i="13"/>
  <c r="L395" i="13"/>
  <c r="O395" i="13" s="1"/>
  <c r="M43" i="14"/>
  <c r="M59" i="14"/>
  <c r="P59" i="14" s="1"/>
  <c r="O61" i="14"/>
  <c r="I86" i="14"/>
  <c r="K86" i="14" s="1"/>
  <c r="K98" i="14"/>
  <c r="N125" i="14"/>
  <c r="O168" i="14"/>
  <c r="M318" i="14"/>
  <c r="P318" i="14" s="1"/>
  <c r="L321" i="14"/>
  <c r="O321" i="14" s="1"/>
  <c r="N330" i="14"/>
  <c r="N328" i="14" s="1"/>
  <c r="P353" i="14"/>
  <c r="M391" i="14"/>
  <c r="P391" i="14" s="1"/>
  <c r="I433" i="14"/>
  <c r="I417" i="14" s="1"/>
  <c r="I443" i="14"/>
  <c r="K443" i="14" s="1"/>
  <c r="J722" i="14"/>
  <c r="O91" i="14"/>
  <c r="L209" i="14"/>
  <c r="O209" i="14" s="1"/>
  <c r="L217" i="14"/>
  <c r="O217" i="14" s="1"/>
  <c r="I260" i="14"/>
  <c r="K260" i="14" s="1"/>
  <c r="N279" i="14"/>
  <c r="P282" i="14"/>
  <c r="N301" i="14"/>
  <c r="P331" i="14"/>
  <c r="P351" i="14"/>
  <c r="K362" i="14"/>
  <c r="N391" i="14"/>
  <c r="N389" i="14" s="1"/>
  <c r="I434" i="14"/>
  <c r="I418" i="14" s="1"/>
  <c r="K418" i="14" s="1"/>
  <c r="K460" i="14"/>
  <c r="L526" i="14"/>
  <c r="O526" i="14" s="1"/>
  <c r="J537" i="14"/>
  <c r="J522" i="14" s="1"/>
  <c r="M549" i="14"/>
  <c r="K576" i="14"/>
  <c r="L631" i="14"/>
  <c r="O631" i="14" s="1"/>
  <c r="L789" i="14"/>
  <c r="O789" i="14" s="1"/>
  <c r="O186" i="14"/>
  <c r="K355" i="14"/>
  <c r="O124" i="14"/>
  <c r="M138" i="14"/>
  <c r="P138" i="14" s="1"/>
  <c r="P154" i="14"/>
  <c r="O266" i="14"/>
  <c r="O282" i="14"/>
  <c r="L317" i="14"/>
  <c r="K338" i="14"/>
  <c r="L347" i="14"/>
  <c r="L345" i="14" s="1"/>
  <c r="K360" i="14"/>
  <c r="K369" i="14"/>
  <c r="M395" i="14"/>
  <c r="P395" i="14" s="1"/>
  <c r="M472" i="14"/>
  <c r="P472" i="14" s="1"/>
  <c r="L525" i="14"/>
  <c r="L547" i="14"/>
  <c r="O547" i="14" s="1"/>
  <c r="K568" i="14"/>
  <c r="K647" i="14"/>
  <c r="K672" i="14"/>
  <c r="I785" i="14"/>
  <c r="K785" i="14" s="1"/>
  <c r="M134" i="14"/>
  <c r="L447" i="14"/>
  <c r="O447" i="14" s="1"/>
  <c r="K821" i="14"/>
  <c r="K824" i="14"/>
  <c r="K827" i="14"/>
  <c r="O351" i="13"/>
  <c r="O394" i="13"/>
  <c r="L392" i="13"/>
  <c r="O392" i="13" s="1"/>
  <c r="P22" i="14"/>
  <c r="M19" i="14"/>
  <c r="M12" i="14"/>
  <c r="M187" i="14"/>
  <c r="P187" i="14" s="1"/>
  <c r="P189" i="14"/>
  <c r="L151" i="11"/>
  <c r="O151" i="11" s="1"/>
  <c r="N317" i="11"/>
  <c r="N315" i="11" s="1"/>
  <c r="M151" i="12"/>
  <c r="M149" i="12" s="1"/>
  <c r="K215" i="12"/>
  <c r="P96" i="13"/>
  <c r="L217" i="13"/>
  <c r="O217" i="13" s="1"/>
  <c r="I233" i="13"/>
  <c r="K233" i="13" s="1"/>
  <c r="K271" i="13"/>
  <c r="M330" i="13"/>
  <c r="M328" i="13" s="1"/>
  <c r="K365" i="13"/>
  <c r="N28" i="14"/>
  <c r="L47" i="14"/>
  <c r="O47" i="14" s="1"/>
  <c r="O49" i="14"/>
  <c r="L26" i="14"/>
  <c r="M91" i="14"/>
  <c r="P91" i="14" s="1"/>
  <c r="M23" i="14"/>
  <c r="P93" i="14"/>
  <c r="L138" i="14"/>
  <c r="O138" i="14" s="1"/>
  <c r="O140" i="14"/>
  <c r="M168" i="14"/>
  <c r="P168" i="14" s="1"/>
  <c r="P170" i="14"/>
  <c r="M171" i="14"/>
  <c r="P171" i="14" s="1"/>
  <c r="P173" i="14"/>
  <c r="P266" i="14"/>
  <c r="I522" i="12"/>
  <c r="K522" i="12" s="1"/>
  <c r="P74" i="13"/>
  <c r="P186" i="13"/>
  <c r="I216" i="13"/>
  <c r="K216" i="13" s="1"/>
  <c r="N300" i="13"/>
  <c r="N298" i="13" s="1"/>
  <c r="K360" i="13"/>
  <c r="K370" i="13"/>
  <c r="M449" i="13"/>
  <c r="M446" i="13" s="1"/>
  <c r="M444" i="13" s="1"/>
  <c r="L447" i="13"/>
  <c r="P35" i="14"/>
  <c r="M34" i="14"/>
  <c r="P34" i="14" s="1"/>
  <c r="O59" i="14"/>
  <c r="O89" i="14"/>
  <c r="M94" i="14"/>
  <c r="P94" i="14" s="1"/>
  <c r="P96" i="14"/>
  <c r="M26" i="14"/>
  <c r="M24" i="14" s="1"/>
  <c r="O166" i="14"/>
  <c r="P262" i="14"/>
  <c r="I260" i="11"/>
  <c r="K260" i="11" s="1"/>
  <c r="P49" i="13"/>
  <c r="O303" i="13"/>
  <c r="N34" i="14"/>
  <c r="L69" i="14"/>
  <c r="O69" i="14" s="1"/>
  <c r="O71" i="14"/>
  <c r="I130" i="14"/>
  <c r="K130" i="14" s="1"/>
  <c r="K146" i="14"/>
  <c r="L198" i="14"/>
  <c r="O198" i="14" s="1"/>
  <c r="K340" i="12"/>
  <c r="L90" i="13"/>
  <c r="L88" i="13" s="1"/>
  <c r="M183" i="14"/>
  <c r="N267" i="14"/>
  <c r="N26" i="14"/>
  <c r="N16" i="14" s="1"/>
  <c r="I87" i="12"/>
  <c r="K87" i="12" s="1"/>
  <c r="M90" i="13"/>
  <c r="M88" i="13" s="1"/>
  <c r="L230" i="13"/>
  <c r="P353" i="13"/>
  <c r="K359" i="13"/>
  <c r="O410" i="13"/>
  <c r="L408" i="13"/>
  <c r="O408" i="13" s="1"/>
  <c r="P15" i="14"/>
  <c r="P29" i="14"/>
  <c r="L44" i="14"/>
  <c r="L23" i="14"/>
  <c r="O46" i="14"/>
  <c r="L72" i="14"/>
  <c r="O72" i="14" s="1"/>
  <c r="O74" i="14"/>
  <c r="L135" i="14"/>
  <c r="O135" i="14" s="1"/>
  <c r="O137" i="14"/>
  <c r="O182" i="14"/>
  <c r="M184" i="14"/>
  <c r="P186" i="14"/>
  <c r="N15" i="14"/>
  <c r="P660" i="14"/>
  <c r="M657" i="14"/>
  <c r="M658" i="14"/>
  <c r="P658" i="14" s="1"/>
  <c r="L12" i="14"/>
  <c r="L19" i="14"/>
  <c r="O93" i="14"/>
  <c r="O170" i="14"/>
  <c r="O173" i="14"/>
  <c r="M421" i="14"/>
  <c r="M422" i="14"/>
  <c r="P422" i="14" s="1"/>
  <c r="P424" i="14"/>
  <c r="J364" i="14"/>
  <c r="K365" i="14"/>
  <c r="K561" i="13"/>
  <c r="L657" i="13"/>
  <c r="L655" i="13" s="1"/>
  <c r="O655" i="13" s="1"/>
  <c r="K80" i="14"/>
  <c r="M631" i="14"/>
  <c r="P631" i="14" s="1"/>
  <c r="M632" i="14"/>
  <c r="P632" i="14" s="1"/>
  <c r="P634" i="14"/>
  <c r="K537" i="13"/>
  <c r="I143" i="14"/>
  <c r="N770" i="14"/>
  <c r="P323" i="14"/>
  <c r="M449" i="14"/>
  <c r="O472" i="14"/>
  <c r="L502" i="14"/>
  <c r="O502" i="14" s="1"/>
  <c r="N504" i="14"/>
  <c r="N502" i="14" s="1"/>
  <c r="N414" i="14" s="1"/>
  <c r="K537" i="14"/>
  <c r="I654" i="14"/>
  <c r="K654" i="14" s="1"/>
  <c r="L658" i="14"/>
  <c r="O658" i="14" s="1"/>
  <c r="K674" i="14"/>
  <c r="N688" i="14"/>
  <c r="L737" i="14"/>
  <c r="O737" i="14" s="1"/>
  <c r="N739" i="14"/>
  <c r="N737" i="14" s="1"/>
  <c r="L754" i="14"/>
  <c r="O754" i="14" s="1"/>
  <c r="N756" i="14"/>
  <c r="N754" i="14" s="1"/>
  <c r="L770" i="14"/>
  <c r="O770" i="14" s="1"/>
  <c r="N772" i="14"/>
  <c r="N808" i="14"/>
  <c r="P316" i="14"/>
  <c r="L318" i="14"/>
  <c r="O318" i="14" s="1"/>
  <c r="O333" i="14"/>
  <c r="O336" i="14"/>
  <c r="O350" i="14"/>
  <c r="O353" i="14"/>
  <c r="O394" i="14"/>
  <c r="O397" i="14"/>
  <c r="O424" i="14"/>
  <c r="O468" i="14"/>
  <c r="M502" i="14"/>
  <c r="P502" i="14" s="1"/>
  <c r="P524" i="14"/>
  <c r="K593" i="14"/>
  <c r="O634" i="14"/>
  <c r="M737" i="14"/>
  <c r="P737" i="14" s="1"/>
  <c r="K675" i="14"/>
  <c r="L422" i="14"/>
  <c r="O422" i="14" s="1"/>
  <c r="L429" i="14"/>
  <c r="O429" i="14" s="1"/>
  <c r="L632" i="14"/>
  <c r="O632" i="14" s="1"/>
  <c r="L639" i="14"/>
  <c r="O639" i="14" s="1"/>
  <c r="I543" i="14"/>
  <c r="K543" i="14" s="1"/>
  <c r="K669" i="14"/>
  <c r="L687" i="14"/>
  <c r="I364" i="12"/>
  <c r="L404" i="12"/>
  <c r="O404" i="12" s="1"/>
  <c r="L43" i="13"/>
  <c r="L41" i="13" s="1"/>
  <c r="I112" i="13"/>
  <c r="K112" i="13" s="1"/>
  <c r="M125" i="13"/>
  <c r="P125" i="13" s="1"/>
  <c r="N280" i="13"/>
  <c r="O280" i="13" s="1"/>
  <c r="O282" i="13"/>
  <c r="N347" i="13"/>
  <c r="N345" i="13" s="1"/>
  <c r="I434" i="13"/>
  <c r="K434" i="13" s="1"/>
  <c r="L631" i="13"/>
  <c r="L629" i="13" s="1"/>
  <c r="K647" i="13"/>
  <c r="L405" i="11"/>
  <c r="O405" i="11" s="1"/>
  <c r="L56" i="12"/>
  <c r="O56" i="12" s="1"/>
  <c r="L331" i="13"/>
  <c r="N330" i="13"/>
  <c r="N328" i="13" s="1"/>
  <c r="O410" i="12"/>
  <c r="I208" i="13"/>
  <c r="K208" i="13" s="1"/>
  <c r="N331" i="13"/>
  <c r="P333" i="13"/>
  <c r="J327" i="13"/>
  <c r="K327" i="13" s="1"/>
  <c r="P58" i="10"/>
  <c r="P46" i="12"/>
  <c r="N55" i="13"/>
  <c r="N53" i="13" s="1"/>
  <c r="P152" i="13"/>
  <c r="I248" i="13"/>
  <c r="K248" i="13" s="1"/>
  <c r="L263" i="13"/>
  <c r="L261" i="13" s="1"/>
  <c r="O350" i="13"/>
  <c r="L422" i="13"/>
  <c r="O422" i="13" s="1"/>
  <c r="L788" i="12"/>
  <c r="O788" i="12" s="1"/>
  <c r="I76" i="13"/>
  <c r="K76" i="13" s="1"/>
  <c r="K260" i="13"/>
  <c r="O306" i="13"/>
  <c r="M660" i="13"/>
  <c r="P660" i="13" s="1"/>
  <c r="J722" i="13"/>
  <c r="K722" i="13" s="1"/>
  <c r="J785" i="13"/>
  <c r="K823" i="13"/>
  <c r="K826" i="13"/>
  <c r="L283" i="10"/>
  <c r="O283" i="10" s="1"/>
  <c r="L23" i="13"/>
  <c r="L44" i="13"/>
  <c r="O58" i="13"/>
  <c r="L56" i="13"/>
  <c r="O56" i="13" s="1"/>
  <c r="I77" i="13"/>
  <c r="M155" i="13"/>
  <c r="P155" i="13" s="1"/>
  <c r="P157" i="13"/>
  <c r="O479" i="13"/>
  <c r="L36" i="13"/>
  <c r="O36" i="13" s="1"/>
  <c r="J721" i="13"/>
  <c r="K721" i="13" s="1"/>
  <c r="M280" i="13"/>
  <c r="P282" i="13"/>
  <c r="M94" i="12"/>
  <c r="P94" i="12" s="1"/>
  <c r="N168" i="12"/>
  <c r="P168" i="12" s="1"/>
  <c r="L217" i="12"/>
  <c r="O217" i="12" s="1"/>
  <c r="I275" i="12"/>
  <c r="K628" i="12"/>
  <c r="N47" i="13"/>
  <c r="N43" i="13"/>
  <c r="O74" i="13"/>
  <c r="L72" i="13"/>
  <c r="O72" i="13" s="1"/>
  <c r="M138" i="13"/>
  <c r="P138" i="13" s="1"/>
  <c r="O173" i="13"/>
  <c r="L171" i="13"/>
  <c r="O171" i="13" s="1"/>
  <c r="N184" i="13"/>
  <c r="P184" i="13" s="1"/>
  <c r="M301" i="13"/>
  <c r="P301" i="13" s="1"/>
  <c r="M300" i="13"/>
  <c r="P300" i="13" s="1"/>
  <c r="P303" i="13"/>
  <c r="L318" i="13"/>
  <c r="O318" i="13" s="1"/>
  <c r="P320" i="13"/>
  <c r="M317" i="13"/>
  <c r="K325" i="13"/>
  <c r="M347" i="13"/>
  <c r="M345" i="13" s="1"/>
  <c r="P350" i="13"/>
  <c r="M348" i="13"/>
  <c r="P348" i="13" s="1"/>
  <c r="L687" i="13"/>
  <c r="O687" i="13" s="1"/>
  <c r="L688" i="13"/>
  <c r="O688" i="13" s="1"/>
  <c r="O690" i="13"/>
  <c r="L33" i="13"/>
  <c r="L555" i="10"/>
  <c r="O555" i="10" s="1"/>
  <c r="J537" i="13"/>
  <c r="J522" i="13" s="1"/>
  <c r="M43" i="11"/>
  <c r="M41" i="11" s="1"/>
  <c r="L422" i="11"/>
  <c r="O422" i="11" s="1"/>
  <c r="J721" i="11"/>
  <c r="M187" i="12"/>
  <c r="P187" i="12" s="1"/>
  <c r="L55" i="13"/>
  <c r="N69" i="13"/>
  <c r="N68" i="13"/>
  <c r="N66" i="13" s="1"/>
  <c r="N91" i="13"/>
  <c r="N90" i="13"/>
  <c r="J143" i="13"/>
  <c r="J131" i="13" s="1"/>
  <c r="P170" i="13"/>
  <c r="L267" i="13"/>
  <c r="O267" i="13" s="1"/>
  <c r="O269" i="13"/>
  <c r="L279" i="13"/>
  <c r="J288" i="13"/>
  <c r="J275" i="13" s="1"/>
  <c r="K275" i="13" s="1"/>
  <c r="I297" i="13"/>
  <c r="K297" i="13" s="1"/>
  <c r="K309" i="13"/>
  <c r="M318" i="13"/>
  <c r="P318" i="13" s="1"/>
  <c r="N318" i="13"/>
  <c r="N317" i="13"/>
  <c r="N315" i="13" s="1"/>
  <c r="M331" i="13"/>
  <c r="K338" i="13"/>
  <c r="K649" i="13"/>
  <c r="O285" i="13"/>
  <c r="L283" i="13"/>
  <c r="O283" i="13" s="1"/>
  <c r="L33" i="12"/>
  <c r="O33" i="12" s="1"/>
  <c r="O152" i="12"/>
  <c r="I442" i="12"/>
  <c r="K442" i="12" s="1"/>
  <c r="O791" i="12"/>
  <c r="N59" i="13"/>
  <c r="P71" i="13"/>
  <c r="M134" i="13"/>
  <c r="N168" i="13"/>
  <c r="O168" i="13" s="1"/>
  <c r="K204" i="13"/>
  <c r="L238" i="13"/>
  <c r="O238" i="13" s="1"/>
  <c r="L229" i="13"/>
  <c r="M351" i="13"/>
  <c r="P351" i="13" s="1"/>
  <c r="K381" i="13"/>
  <c r="L404" i="13"/>
  <c r="O407" i="13"/>
  <c r="L405" i="13"/>
  <c r="O405" i="13" s="1"/>
  <c r="K435" i="13"/>
  <c r="I433" i="13"/>
  <c r="I417" i="13" s="1"/>
  <c r="M657" i="13"/>
  <c r="K801" i="13"/>
  <c r="M90" i="12"/>
  <c r="M88" i="12" s="1"/>
  <c r="L300" i="12"/>
  <c r="L298" i="12" s="1"/>
  <c r="L789" i="12"/>
  <c r="O789" i="12" s="1"/>
  <c r="M43" i="13"/>
  <c r="L68" i="13"/>
  <c r="L122" i="13"/>
  <c r="O122" i="13" s="1"/>
  <c r="L121" i="13"/>
  <c r="O121" i="13" s="1"/>
  <c r="N134" i="13"/>
  <c r="N132" i="13" s="1"/>
  <c r="O140" i="13"/>
  <c r="I130" i="13"/>
  <c r="K130" i="13" s="1"/>
  <c r="K146" i="13"/>
  <c r="M151" i="13"/>
  <c r="M149" i="13" s="1"/>
  <c r="L152" i="13"/>
  <c r="O152" i="13" s="1"/>
  <c r="L151" i="13"/>
  <c r="O151" i="13" s="1"/>
  <c r="L155" i="13"/>
  <c r="O155" i="13" s="1"/>
  <c r="O157" i="13"/>
  <c r="O189" i="13"/>
  <c r="L187" i="13"/>
  <c r="O187" i="13" s="1"/>
  <c r="M263" i="13"/>
  <c r="M261" i="13" s="1"/>
  <c r="K723" i="13"/>
  <c r="L26" i="13"/>
  <c r="L24" i="13" s="1"/>
  <c r="L134" i="13"/>
  <c r="M183" i="13"/>
  <c r="M391" i="13"/>
  <c r="M389" i="13" s="1"/>
  <c r="P389" i="13" s="1"/>
  <c r="O46" i="13"/>
  <c r="K99" i="13"/>
  <c r="N121" i="13"/>
  <c r="N119" i="13" s="1"/>
  <c r="L135" i="13"/>
  <c r="O135" i="13" s="1"/>
  <c r="P137" i="13"/>
  <c r="M187" i="13"/>
  <c r="P187" i="13" s="1"/>
  <c r="N183" i="13"/>
  <c r="N181" i="13" s="1"/>
  <c r="L198" i="13"/>
  <c r="O198" i="13" s="1"/>
  <c r="L300" i="13"/>
  <c r="O300" i="13" s="1"/>
  <c r="K340" i="13"/>
  <c r="K362" i="13"/>
  <c r="L421" i="13"/>
  <c r="O421" i="13" s="1"/>
  <c r="I442" i="13"/>
  <c r="K442" i="13" s="1"/>
  <c r="K577" i="13"/>
  <c r="O634" i="13"/>
  <c r="I654" i="13"/>
  <c r="K654" i="13" s="1"/>
  <c r="K674" i="13"/>
  <c r="K821" i="13"/>
  <c r="K824" i="13"/>
  <c r="K827" i="13"/>
  <c r="L249" i="13"/>
  <c r="O249" i="13" s="1"/>
  <c r="O333" i="13"/>
  <c r="K822" i="13"/>
  <c r="K825" i="13"/>
  <c r="K828" i="13"/>
  <c r="N9" i="13"/>
  <c r="K672" i="12"/>
  <c r="K673" i="12"/>
  <c r="O54" i="13"/>
  <c r="M56" i="13"/>
  <c r="P56" i="13" s="1"/>
  <c r="P58" i="13"/>
  <c r="O150" i="13"/>
  <c r="M167" i="13"/>
  <c r="P173" i="13"/>
  <c r="P807" i="13"/>
  <c r="M805" i="13"/>
  <c r="P805" i="13" s="1"/>
  <c r="N330" i="10"/>
  <c r="N328" i="10" s="1"/>
  <c r="O138" i="11"/>
  <c r="K355" i="11"/>
  <c r="O791" i="11"/>
  <c r="O71" i="12"/>
  <c r="L122" i="12"/>
  <c r="O122" i="12" s="1"/>
  <c r="I130" i="12"/>
  <c r="K130" i="12" s="1"/>
  <c r="P137" i="12"/>
  <c r="M171" i="12"/>
  <c r="P171" i="12" s="1"/>
  <c r="M424" i="12"/>
  <c r="M422" i="12" s="1"/>
  <c r="P422" i="12" s="1"/>
  <c r="O424" i="12"/>
  <c r="L422" i="12"/>
  <c r="O422" i="12" s="1"/>
  <c r="M59" i="13"/>
  <c r="P59" i="13" s="1"/>
  <c r="M26" i="13"/>
  <c r="P61" i="13"/>
  <c r="M171" i="13"/>
  <c r="P171" i="13" s="1"/>
  <c r="O329" i="13"/>
  <c r="L231" i="11"/>
  <c r="I276" i="11"/>
  <c r="K276" i="11" s="1"/>
  <c r="J364" i="11"/>
  <c r="K378" i="11"/>
  <c r="K381" i="11"/>
  <c r="K821" i="11"/>
  <c r="K824" i="11"/>
  <c r="K827" i="11"/>
  <c r="L55" i="12"/>
  <c r="L53" i="12" s="1"/>
  <c r="P266" i="12"/>
  <c r="P280" i="12"/>
  <c r="N347" i="12"/>
  <c r="N345" i="12" s="1"/>
  <c r="N15" i="13"/>
  <c r="M122" i="13"/>
  <c r="P122" i="13" s="1"/>
  <c r="P124" i="13"/>
  <c r="M121" i="13"/>
  <c r="N264" i="13"/>
  <c r="O264" i="13" s="1"/>
  <c r="N263" i="13"/>
  <c r="N261" i="13" s="1"/>
  <c r="O390" i="13"/>
  <c r="I86" i="11"/>
  <c r="K86" i="11" s="1"/>
  <c r="L43" i="12"/>
  <c r="L41" i="12" s="1"/>
  <c r="O61" i="12"/>
  <c r="O157" i="12"/>
  <c r="K224" i="12"/>
  <c r="I216" i="12"/>
  <c r="K216" i="12" s="1"/>
  <c r="N300" i="12"/>
  <c r="N298" i="12" s="1"/>
  <c r="O320" i="12"/>
  <c r="L318" i="12"/>
  <c r="O318" i="12" s="1"/>
  <c r="L317" i="12"/>
  <c r="O317" i="12" s="1"/>
  <c r="O133" i="13"/>
  <c r="K176" i="13"/>
  <c r="I174" i="13"/>
  <c r="O186" i="13"/>
  <c r="L183" i="13"/>
  <c r="O353" i="13"/>
  <c r="L347" i="13"/>
  <c r="M408" i="13"/>
  <c r="P408" i="13" s="1"/>
  <c r="P410" i="13"/>
  <c r="N134" i="11"/>
  <c r="N132" i="11" s="1"/>
  <c r="O69" i="12"/>
  <c r="L168" i="12"/>
  <c r="K176" i="12"/>
  <c r="L187" i="12"/>
  <c r="O187" i="12" s="1"/>
  <c r="N304" i="12"/>
  <c r="K801" i="12"/>
  <c r="I785" i="12"/>
  <c r="N29" i="13"/>
  <c r="N28" i="13" s="1"/>
  <c r="N31" i="13"/>
  <c r="N125" i="13"/>
  <c r="N26" i="13"/>
  <c r="N16" i="13" s="1"/>
  <c r="P135" i="13"/>
  <c r="L184" i="13"/>
  <c r="P299" i="13"/>
  <c r="J364" i="13"/>
  <c r="K374" i="13"/>
  <c r="M405" i="11"/>
  <c r="P405" i="11" s="1"/>
  <c r="M408" i="11"/>
  <c r="P408" i="11" s="1"/>
  <c r="M55" i="13"/>
  <c r="I86" i="13"/>
  <c r="K86" i="13" s="1"/>
  <c r="K98" i="13"/>
  <c r="M283" i="13"/>
  <c r="P283" i="13" s="1"/>
  <c r="P285" i="13"/>
  <c r="L228" i="12"/>
  <c r="K374" i="12"/>
  <c r="L15" i="13"/>
  <c r="L9" i="13" s="1"/>
  <c r="M23" i="13"/>
  <c r="L29" i="13"/>
  <c r="P42" i="13"/>
  <c r="P67" i="13"/>
  <c r="J87" i="13"/>
  <c r="K87" i="13" s="1"/>
  <c r="O127" i="13"/>
  <c r="O137" i="13"/>
  <c r="P154" i="13"/>
  <c r="O170" i="13"/>
  <c r="P189" i="13"/>
  <c r="K244" i="13"/>
  <c r="I237" i="13"/>
  <c r="O266" i="13"/>
  <c r="P269" i="13"/>
  <c r="I276" i="13"/>
  <c r="K276" i="13" s="1"/>
  <c r="O445" i="13"/>
  <c r="P468" i="13"/>
  <c r="O738" i="13"/>
  <c r="L737" i="13"/>
  <c r="O737" i="13" s="1"/>
  <c r="O806" i="13"/>
  <c r="L805" i="13"/>
  <c r="O805" i="13" s="1"/>
  <c r="L229" i="12"/>
  <c r="K359" i="12"/>
  <c r="K701" i="12"/>
  <c r="M9" i="13"/>
  <c r="M15" i="13"/>
  <c r="N23" i="13"/>
  <c r="M29" i="13"/>
  <c r="O61" i="13"/>
  <c r="O124" i="13"/>
  <c r="I143" i="13"/>
  <c r="I190" i="13"/>
  <c r="K190" i="13" s="1"/>
  <c r="P266" i="13"/>
  <c r="M279" i="13"/>
  <c r="L317" i="13"/>
  <c r="L391" i="13"/>
  <c r="O391" i="13" s="1"/>
  <c r="M405" i="13"/>
  <c r="P405" i="13" s="1"/>
  <c r="M404" i="13"/>
  <c r="P404" i="13" s="1"/>
  <c r="P445" i="13"/>
  <c r="L470" i="13"/>
  <c r="M472" i="13"/>
  <c r="L469" i="13"/>
  <c r="O472" i="13"/>
  <c r="O503" i="13"/>
  <c r="L502" i="13"/>
  <c r="O502" i="13" s="1"/>
  <c r="P756" i="13"/>
  <c r="M754" i="13"/>
  <c r="P754" i="13" s="1"/>
  <c r="N44" i="13"/>
  <c r="O138" i="13"/>
  <c r="L167" i="13"/>
  <c r="N470" i="13"/>
  <c r="N469" i="13"/>
  <c r="N467" i="13" s="1"/>
  <c r="J592" i="13"/>
  <c r="K593" i="13"/>
  <c r="K621" i="13"/>
  <c r="K385" i="12"/>
  <c r="K355" i="13"/>
  <c r="L526" i="13"/>
  <c r="O526" i="13" s="1"/>
  <c r="O528" i="13"/>
  <c r="L525" i="13"/>
  <c r="N546" i="13"/>
  <c r="K592" i="13"/>
  <c r="O348" i="13"/>
  <c r="N444" i="13"/>
  <c r="N447" i="13"/>
  <c r="M502" i="13"/>
  <c r="P502" i="13" s="1"/>
  <c r="P503" i="13"/>
  <c r="K576" i="13"/>
  <c r="O686" i="13"/>
  <c r="O755" i="13"/>
  <c r="L754" i="13"/>
  <c r="O754" i="13" s="1"/>
  <c r="P545" i="13"/>
  <c r="K559" i="13"/>
  <c r="J543" i="13"/>
  <c r="K543" i="13" s="1"/>
  <c r="M631" i="13"/>
  <c r="M632" i="13"/>
  <c r="P634" i="13"/>
  <c r="P772" i="13"/>
  <c r="M770" i="13"/>
  <c r="P770" i="13" s="1"/>
  <c r="O449" i="13"/>
  <c r="N544" i="13"/>
  <c r="O771" i="13"/>
  <c r="L770" i="13"/>
  <c r="O770" i="13" s="1"/>
  <c r="L789" i="13"/>
  <c r="O789" i="13" s="1"/>
  <c r="O791" i="13"/>
  <c r="M791" i="13"/>
  <c r="J433" i="13"/>
  <c r="J417" i="13" s="1"/>
  <c r="L454" i="13"/>
  <c r="O454" i="13" s="1"/>
  <c r="L446" i="13"/>
  <c r="O446" i="13" s="1"/>
  <c r="K466" i="13"/>
  <c r="M546" i="13"/>
  <c r="P546" i="13" s="1"/>
  <c r="M547" i="13"/>
  <c r="P547" i="13" s="1"/>
  <c r="P549" i="13"/>
  <c r="N631" i="13"/>
  <c r="N632" i="13"/>
  <c r="P739" i="13"/>
  <c r="M737" i="13"/>
  <c r="P737" i="13" s="1"/>
  <c r="L788" i="13"/>
  <c r="O549" i="13"/>
  <c r="O630" i="13"/>
  <c r="L632" i="13"/>
  <c r="O632" i="13" s="1"/>
  <c r="N658" i="13"/>
  <c r="O658" i="13" s="1"/>
  <c r="K675" i="13"/>
  <c r="K672" i="13"/>
  <c r="M690" i="13"/>
  <c r="K669" i="13"/>
  <c r="N43" i="11"/>
  <c r="N41" i="11" s="1"/>
  <c r="N183" i="11"/>
  <c r="N181" i="11" s="1"/>
  <c r="L263" i="11"/>
  <c r="L261" i="11" s="1"/>
  <c r="P74" i="12"/>
  <c r="M72" i="12"/>
  <c r="P72" i="12" s="1"/>
  <c r="M68" i="12"/>
  <c r="P331" i="12"/>
  <c r="O528" i="12"/>
  <c r="L525" i="12"/>
  <c r="O525" i="12" s="1"/>
  <c r="P301" i="10"/>
  <c r="K651" i="10"/>
  <c r="M121" i="11"/>
  <c r="M119" i="11" s="1"/>
  <c r="M26" i="12"/>
  <c r="M16" i="12" s="1"/>
  <c r="M14" i="12" s="1"/>
  <c r="M47" i="12"/>
  <c r="P47" i="12" s="1"/>
  <c r="M167" i="9"/>
  <c r="M165" i="9" s="1"/>
  <c r="N183" i="9"/>
  <c r="M68" i="11"/>
  <c r="I208" i="11"/>
  <c r="K208" i="11" s="1"/>
  <c r="N23" i="12"/>
  <c r="N13" i="12" s="1"/>
  <c r="N44" i="12"/>
  <c r="O44" i="12" s="1"/>
  <c r="M317" i="12"/>
  <c r="P317" i="12" s="1"/>
  <c r="P791" i="12"/>
  <c r="M788" i="12"/>
  <c r="P353" i="10"/>
  <c r="P137" i="11"/>
  <c r="N167" i="11"/>
  <c r="N165" i="11" s="1"/>
  <c r="L217" i="11"/>
  <c r="O217" i="11" s="1"/>
  <c r="M184" i="12"/>
  <c r="M183" i="12"/>
  <c r="M181" i="12" s="1"/>
  <c r="P285" i="12"/>
  <c r="M283" i="12"/>
  <c r="P283" i="12" s="1"/>
  <c r="O353" i="12"/>
  <c r="L351" i="12"/>
  <c r="O351" i="12" s="1"/>
  <c r="O397" i="12"/>
  <c r="L395" i="12"/>
  <c r="O395" i="12" s="1"/>
  <c r="L391" i="12"/>
  <c r="O391" i="12" s="1"/>
  <c r="L631" i="12"/>
  <c r="O631" i="12" s="1"/>
  <c r="O634" i="12"/>
  <c r="L632" i="12"/>
  <c r="O632" i="12" s="1"/>
  <c r="M634" i="12"/>
  <c r="M631" i="12" s="1"/>
  <c r="P631" i="12" s="1"/>
  <c r="L446" i="11"/>
  <c r="L444" i="11" s="1"/>
  <c r="N43" i="12"/>
  <c r="N41" i="12" s="1"/>
  <c r="P71" i="12"/>
  <c r="L90" i="12"/>
  <c r="L88" i="12" s="1"/>
  <c r="N183" i="12"/>
  <c r="N181" i="12" s="1"/>
  <c r="L230" i="12"/>
  <c r="L283" i="12"/>
  <c r="O283" i="12" s="1"/>
  <c r="O306" i="12"/>
  <c r="L36" i="12"/>
  <c r="O36" i="12" s="1"/>
  <c r="K568" i="12"/>
  <c r="K822" i="12"/>
  <c r="K828" i="12"/>
  <c r="K370" i="11"/>
  <c r="K651" i="11"/>
  <c r="I76" i="12"/>
  <c r="I64" i="12" s="1"/>
  <c r="K64" i="12" s="1"/>
  <c r="I112" i="12"/>
  <c r="K112" i="12" s="1"/>
  <c r="P170" i="12"/>
  <c r="O266" i="12"/>
  <c r="O303" i="12"/>
  <c r="L321" i="12"/>
  <c r="O321" i="12" s="1"/>
  <c r="N391" i="12"/>
  <c r="N389" i="12" s="1"/>
  <c r="L421" i="12"/>
  <c r="O421" i="12" s="1"/>
  <c r="N68" i="12"/>
  <c r="N66" i="12" s="1"/>
  <c r="P91" i="12"/>
  <c r="P303" i="12"/>
  <c r="K369" i="12"/>
  <c r="K372" i="12"/>
  <c r="K669" i="12"/>
  <c r="K379" i="11"/>
  <c r="O456" i="11"/>
  <c r="M55" i="12"/>
  <c r="M53" i="12" s="1"/>
  <c r="L94" i="12"/>
  <c r="O94" i="12" s="1"/>
  <c r="O170" i="12"/>
  <c r="L209" i="12"/>
  <c r="O209" i="12" s="1"/>
  <c r="K244" i="12"/>
  <c r="O282" i="12"/>
  <c r="M334" i="11"/>
  <c r="P334" i="11" s="1"/>
  <c r="K359" i="11"/>
  <c r="L639" i="11"/>
  <c r="O639" i="11" s="1"/>
  <c r="M43" i="12"/>
  <c r="M41" i="12" s="1"/>
  <c r="N90" i="12"/>
  <c r="N88" i="12" s="1"/>
  <c r="K145" i="12"/>
  <c r="L183" i="12"/>
  <c r="M264" i="12"/>
  <c r="P264" i="12" s="1"/>
  <c r="L267" i="12"/>
  <c r="O267" i="12" s="1"/>
  <c r="P282" i="12"/>
  <c r="P333" i="12"/>
  <c r="L347" i="12"/>
  <c r="K378" i="12"/>
  <c r="K649" i="12"/>
  <c r="K651" i="12"/>
  <c r="O446" i="12"/>
  <c r="L444" i="12"/>
  <c r="O444" i="12" s="1"/>
  <c r="K559" i="12"/>
  <c r="I543" i="12"/>
  <c r="K543" i="12" s="1"/>
  <c r="N43" i="9"/>
  <c r="N41" i="9" s="1"/>
  <c r="P58" i="11"/>
  <c r="M122" i="11"/>
  <c r="P122" i="11" s="1"/>
  <c r="I314" i="11"/>
  <c r="K314" i="11" s="1"/>
  <c r="N330" i="11"/>
  <c r="N328" i="11" s="1"/>
  <c r="N55" i="12"/>
  <c r="P93" i="12"/>
  <c r="M125" i="12"/>
  <c r="P125" i="12" s="1"/>
  <c r="N134" i="12"/>
  <c r="N132" i="12" s="1"/>
  <c r="O137" i="12"/>
  <c r="L135" i="12"/>
  <c r="O135" i="12" s="1"/>
  <c r="N151" i="12"/>
  <c r="O154" i="12"/>
  <c r="N184" i="12"/>
  <c r="M263" i="12"/>
  <c r="M261" i="12" s="1"/>
  <c r="M321" i="12"/>
  <c r="P321" i="12" s="1"/>
  <c r="O431" i="12"/>
  <c r="L469" i="12"/>
  <c r="L467" i="12" s="1"/>
  <c r="O467" i="12" s="1"/>
  <c r="M549" i="12"/>
  <c r="M547" i="12" s="1"/>
  <c r="P547" i="12" s="1"/>
  <c r="M690" i="12"/>
  <c r="P690" i="12" s="1"/>
  <c r="L687" i="12"/>
  <c r="O687" i="12" s="1"/>
  <c r="M334" i="8"/>
  <c r="P334" i="8" s="1"/>
  <c r="L167" i="9"/>
  <c r="L165" i="9" s="1"/>
  <c r="L230" i="10"/>
  <c r="L43" i="11"/>
  <c r="L41" i="11" s="1"/>
  <c r="M55" i="11"/>
  <c r="M53" i="11" s="1"/>
  <c r="N68" i="11"/>
  <c r="N66" i="11" s="1"/>
  <c r="M135" i="11"/>
  <c r="M171" i="11"/>
  <c r="P171" i="11" s="1"/>
  <c r="I174" i="11"/>
  <c r="I164" i="11" s="1"/>
  <c r="K164" i="11" s="1"/>
  <c r="O350" i="11"/>
  <c r="L789" i="11"/>
  <c r="O789" i="11" s="1"/>
  <c r="M44" i="12"/>
  <c r="L231" i="12"/>
  <c r="L264" i="12"/>
  <c r="O264" i="12" s="1"/>
  <c r="I276" i="12"/>
  <c r="K276" i="12" s="1"/>
  <c r="M279" i="12"/>
  <c r="M277" i="12" s="1"/>
  <c r="P353" i="12"/>
  <c r="K360" i="12"/>
  <c r="O549" i="12"/>
  <c r="K560" i="12"/>
  <c r="K577" i="12"/>
  <c r="K621" i="12"/>
  <c r="O660" i="12"/>
  <c r="L657" i="12"/>
  <c r="P350" i="11"/>
  <c r="M121" i="12"/>
  <c r="P121" i="12" s="1"/>
  <c r="I233" i="12"/>
  <c r="K233" i="12" s="1"/>
  <c r="I297" i="12"/>
  <c r="K297" i="12" s="1"/>
  <c r="K338" i="12"/>
  <c r="O186" i="12"/>
  <c r="L184" i="12"/>
  <c r="K379" i="12"/>
  <c r="L217" i="10"/>
  <c r="O217" i="10" s="1"/>
  <c r="L228" i="11"/>
  <c r="N47" i="12"/>
  <c r="P49" i="12"/>
  <c r="M59" i="12"/>
  <c r="P59" i="12" s="1"/>
  <c r="L72" i="12"/>
  <c r="O72" i="12" s="1"/>
  <c r="I77" i="12"/>
  <c r="K77" i="12" s="1"/>
  <c r="K116" i="12"/>
  <c r="M122" i="12"/>
  <c r="P122" i="12" s="1"/>
  <c r="N122" i="12"/>
  <c r="N121" i="12"/>
  <c r="N119" i="12" s="1"/>
  <c r="L138" i="12"/>
  <c r="O138" i="12" s="1"/>
  <c r="L151" i="12"/>
  <c r="L149" i="12" s="1"/>
  <c r="P152" i="12"/>
  <c r="M167" i="12"/>
  <c r="L301" i="12"/>
  <c r="O301" i="12" s="1"/>
  <c r="O333" i="12"/>
  <c r="L348" i="12"/>
  <c r="O348" i="12" s="1"/>
  <c r="K647" i="12"/>
  <c r="L68" i="11"/>
  <c r="L66" i="11" s="1"/>
  <c r="I443" i="11"/>
  <c r="K443" i="11" s="1"/>
  <c r="L68" i="12"/>
  <c r="L66" i="12" s="1"/>
  <c r="O93" i="12"/>
  <c r="M134" i="12"/>
  <c r="M138" i="12"/>
  <c r="P138" i="12" s="1"/>
  <c r="N330" i="12"/>
  <c r="M334" i="12"/>
  <c r="P334" i="12" s="1"/>
  <c r="P336" i="12"/>
  <c r="P348" i="12"/>
  <c r="L392" i="12"/>
  <c r="O392" i="12" s="1"/>
  <c r="L405" i="12"/>
  <c r="O405" i="12" s="1"/>
  <c r="O407" i="12"/>
  <c r="L546" i="12"/>
  <c r="L544" i="12" s="1"/>
  <c r="O544" i="12" s="1"/>
  <c r="L121" i="12"/>
  <c r="L119" i="12" s="1"/>
  <c r="O119" i="12" s="1"/>
  <c r="J143" i="12"/>
  <c r="J131" i="12" s="1"/>
  <c r="P186" i="12"/>
  <c r="L198" i="12"/>
  <c r="O198" i="12" s="1"/>
  <c r="L249" i="12"/>
  <c r="O249" i="12" s="1"/>
  <c r="M330" i="12"/>
  <c r="J327" i="12"/>
  <c r="K327" i="12" s="1"/>
  <c r="K355" i="12"/>
  <c r="K370" i="12"/>
  <c r="K381" i="12"/>
  <c r="K803" i="12"/>
  <c r="J721" i="12"/>
  <c r="J785" i="12"/>
  <c r="K823" i="12"/>
  <c r="J722" i="12"/>
  <c r="K821" i="12"/>
  <c r="K824" i="12"/>
  <c r="K827" i="12"/>
  <c r="N9" i="12"/>
  <c r="K164" i="12"/>
  <c r="P350" i="12"/>
  <c r="M347" i="12"/>
  <c r="J433" i="12"/>
  <c r="J417" i="12" s="1"/>
  <c r="I433" i="12"/>
  <c r="K435" i="12"/>
  <c r="P445" i="12"/>
  <c r="P807" i="12"/>
  <c r="M805" i="12"/>
  <c r="P805" i="12" s="1"/>
  <c r="I314" i="10"/>
  <c r="K314" i="10" s="1"/>
  <c r="P61" i="11"/>
  <c r="N135" i="11"/>
  <c r="L230" i="11"/>
  <c r="M317" i="11"/>
  <c r="P317" i="11" s="1"/>
  <c r="I364" i="11"/>
  <c r="L26" i="12"/>
  <c r="M34" i="12"/>
  <c r="P34" i="12" s="1"/>
  <c r="O91" i="12"/>
  <c r="K98" i="12"/>
  <c r="I131" i="12"/>
  <c r="K131" i="12" s="1"/>
  <c r="L134" i="12"/>
  <c r="K144" i="12"/>
  <c r="K159" i="12"/>
  <c r="K174" i="12"/>
  <c r="L238" i="12"/>
  <c r="L263" i="12"/>
  <c r="L280" i="12"/>
  <c r="O280" i="12" s="1"/>
  <c r="M301" i="12"/>
  <c r="P301" i="12" s="1"/>
  <c r="M300" i="12"/>
  <c r="O806" i="12"/>
  <c r="L805" i="12"/>
  <c r="O805" i="12" s="1"/>
  <c r="P140" i="11"/>
  <c r="N263" i="11"/>
  <c r="M318" i="11"/>
  <c r="P318" i="11" s="1"/>
  <c r="P333" i="11"/>
  <c r="N347" i="11"/>
  <c r="N345" i="11" s="1"/>
  <c r="K435" i="11"/>
  <c r="L12" i="12"/>
  <c r="L19" i="12"/>
  <c r="P61" i="12"/>
  <c r="M155" i="12"/>
  <c r="P155" i="12" s="1"/>
  <c r="I260" i="12"/>
  <c r="K260" i="12" s="1"/>
  <c r="P306" i="12"/>
  <c r="P320" i="12"/>
  <c r="M318" i="12"/>
  <c r="P318" i="12" s="1"/>
  <c r="O350" i="12"/>
  <c r="N404" i="12"/>
  <c r="N402" i="12" s="1"/>
  <c r="K708" i="12"/>
  <c r="O772" i="12"/>
  <c r="L770" i="12"/>
  <c r="O770" i="12" s="1"/>
  <c r="L405" i="10"/>
  <c r="O405" i="10" s="1"/>
  <c r="L36" i="11"/>
  <c r="L34" i="11" s="1"/>
  <c r="O34" i="11" s="1"/>
  <c r="P138" i="11"/>
  <c r="P351" i="11"/>
  <c r="L469" i="11"/>
  <c r="O469" i="11" s="1"/>
  <c r="I628" i="11"/>
  <c r="K628" i="11" s="1"/>
  <c r="M12" i="12"/>
  <c r="M19" i="12"/>
  <c r="N26" i="12"/>
  <c r="O46" i="12"/>
  <c r="O49" i="12"/>
  <c r="P58" i="12"/>
  <c r="O127" i="12"/>
  <c r="O182" i="12"/>
  <c r="K204" i="12"/>
  <c r="I197" i="12"/>
  <c r="K197" i="12" s="1"/>
  <c r="N263" i="12"/>
  <c r="N261" i="12" s="1"/>
  <c r="L279" i="12"/>
  <c r="P316" i="12"/>
  <c r="N317" i="12"/>
  <c r="N315" i="12" s="1"/>
  <c r="N687" i="12"/>
  <c r="N685" i="12" s="1"/>
  <c r="N688" i="12"/>
  <c r="N756" i="12"/>
  <c r="N754" i="12" s="1"/>
  <c r="N757" i="12"/>
  <c r="I433" i="10"/>
  <c r="I417" i="10" s="1"/>
  <c r="O61" i="11"/>
  <c r="O137" i="11"/>
  <c r="K338" i="11"/>
  <c r="L408" i="11"/>
  <c r="O408" i="11" s="1"/>
  <c r="K647" i="11"/>
  <c r="L23" i="12"/>
  <c r="P154" i="12"/>
  <c r="I226" i="12"/>
  <c r="J275" i="12"/>
  <c r="K288" i="12"/>
  <c r="P351" i="12"/>
  <c r="J364" i="12"/>
  <c r="K365" i="12"/>
  <c r="P410" i="12"/>
  <c r="M408" i="12"/>
  <c r="P408" i="12" s="1"/>
  <c r="M404" i="12"/>
  <c r="P404" i="12" s="1"/>
  <c r="K338" i="10"/>
  <c r="K385" i="10"/>
  <c r="P154" i="11"/>
  <c r="K360" i="11"/>
  <c r="I434" i="11"/>
  <c r="I418" i="11" s="1"/>
  <c r="K418" i="11" s="1"/>
  <c r="M23" i="12"/>
  <c r="N279" i="12"/>
  <c r="M392" i="12"/>
  <c r="P392" i="12" s="1"/>
  <c r="P394" i="12"/>
  <c r="M391" i="12"/>
  <c r="P403" i="12"/>
  <c r="P468" i="12"/>
  <c r="P397" i="12"/>
  <c r="N405" i="12"/>
  <c r="P407" i="12"/>
  <c r="M405" i="12"/>
  <c r="P405" i="12" s="1"/>
  <c r="M469" i="12"/>
  <c r="P469" i="12" s="1"/>
  <c r="M470" i="12"/>
  <c r="P470" i="12" s="1"/>
  <c r="P472" i="12"/>
  <c r="J537" i="12"/>
  <c r="J522" i="12" s="1"/>
  <c r="I592" i="12"/>
  <c r="K592" i="12" s="1"/>
  <c r="K593" i="12"/>
  <c r="I443" i="12"/>
  <c r="K443" i="12" s="1"/>
  <c r="K462" i="12"/>
  <c r="P504" i="12"/>
  <c r="M502" i="12"/>
  <c r="P502" i="12" s="1"/>
  <c r="O739" i="12"/>
  <c r="L737" i="12"/>
  <c r="O737" i="12" s="1"/>
  <c r="N772" i="12"/>
  <c r="N770" i="12" s="1"/>
  <c r="N773" i="12"/>
  <c r="I434" i="12"/>
  <c r="K438" i="12"/>
  <c r="L447" i="12"/>
  <c r="O447" i="12" s="1"/>
  <c r="O449" i="12"/>
  <c r="M449" i="12"/>
  <c r="N469" i="12"/>
  <c r="N467" i="12" s="1"/>
  <c r="O503" i="12"/>
  <c r="L502" i="12"/>
  <c r="O502" i="12" s="1"/>
  <c r="O630" i="12"/>
  <c r="K362" i="12"/>
  <c r="L454" i="12"/>
  <c r="O454" i="12" s="1"/>
  <c r="O456" i="12"/>
  <c r="N739" i="12"/>
  <c r="N737" i="12" s="1"/>
  <c r="N740" i="12"/>
  <c r="O756" i="12"/>
  <c r="L754" i="12"/>
  <c r="O754" i="12" s="1"/>
  <c r="O472" i="12"/>
  <c r="O524" i="12"/>
  <c r="L533" i="12"/>
  <c r="O533" i="12" s="1"/>
  <c r="I654" i="12"/>
  <c r="K654" i="12" s="1"/>
  <c r="P656" i="12"/>
  <c r="L658" i="12"/>
  <c r="O658" i="12" s="1"/>
  <c r="K674" i="12"/>
  <c r="O690" i="12"/>
  <c r="M789" i="12"/>
  <c r="P789" i="12" s="1"/>
  <c r="L470" i="12"/>
  <c r="O470" i="12" s="1"/>
  <c r="L477" i="12"/>
  <c r="O477" i="12" s="1"/>
  <c r="K576" i="12"/>
  <c r="M660" i="12"/>
  <c r="K675" i="12"/>
  <c r="M754" i="12"/>
  <c r="P754" i="12" s="1"/>
  <c r="M770" i="12"/>
  <c r="P770" i="12" s="1"/>
  <c r="L688" i="12"/>
  <c r="O688" i="12" s="1"/>
  <c r="L90" i="6"/>
  <c r="L88" i="6" s="1"/>
  <c r="O170" i="9"/>
  <c r="L55" i="11"/>
  <c r="L53" i="11" s="1"/>
  <c r="M183" i="11"/>
  <c r="M181" i="11" s="1"/>
  <c r="N264" i="11"/>
  <c r="P264" i="11" s="1"/>
  <c r="M267" i="11"/>
  <c r="P267" i="11" s="1"/>
  <c r="J288" i="11"/>
  <c r="J275" i="11" s="1"/>
  <c r="K275" i="11" s="1"/>
  <c r="M304" i="11"/>
  <c r="P304" i="11" s="1"/>
  <c r="N300" i="11"/>
  <c r="N298" i="11" s="1"/>
  <c r="M331" i="11"/>
  <c r="P331" i="11" s="1"/>
  <c r="O353" i="11"/>
  <c r="N404" i="11"/>
  <c r="N402" i="11" s="1"/>
  <c r="N167" i="9"/>
  <c r="N165" i="9" s="1"/>
  <c r="M155" i="11"/>
  <c r="P155" i="11" s="1"/>
  <c r="L334" i="11"/>
  <c r="O334" i="11" s="1"/>
  <c r="L348" i="11"/>
  <c r="O348" i="11" s="1"/>
  <c r="P353" i="11"/>
  <c r="K372" i="11"/>
  <c r="M549" i="11"/>
  <c r="M546" i="11" s="1"/>
  <c r="P546" i="11" s="1"/>
  <c r="K594" i="11"/>
  <c r="L631" i="11"/>
  <c r="L629" i="11" s="1"/>
  <c r="O629" i="11" s="1"/>
  <c r="O634" i="11"/>
  <c r="I654" i="11"/>
  <c r="K654" i="11" s="1"/>
  <c r="N55" i="10"/>
  <c r="N53" i="10" s="1"/>
  <c r="M59" i="10"/>
  <c r="P59" i="10" s="1"/>
  <c r="L26" i="11"/>
  <c r="L33" i="11"/>
  <c r="L31" i="11" s="1"/>
  <c r="K159" i="11"/>
  <c r="N168" i="11"/>
  <c r="P186" i="11"/>
  <c r="L547" i="11"/>
  <c r="O547" i="11" s="1"/>
  <c r="L657" i="11"/>
  <c r="L655" i="11" s="1"/>
  <c r="O655" i="11" s="1"/>
  <c r="K381" i="10"/>
  <c r="L90" i="11"/>
  <c r="L88" i="11" s="1"/>
  <c r="L135" i="11"/>
  <c r="M134" i="11"/>
  <c r="P189" i="11"/>
  <c r="O285" i="11"/>
  <c r="N318" i="11"/>
  <c r="K672" i="11"/>
  <c r="L533" i="5"/>
  <c r="O533" i="5" s="1"/>
  <c r="M267" i="10"/>
  <c r="P267" i="10" s="1"/>
  <c r="N121" i="11"/>
  <c r="P127" i="11"/>
  <c r="P303" i="11"/>
  <c r="O333" i="11"/>
  <c r="K340" i="11"/>
  <c r="K674" i="11"/>
  <c r="L280" i="11"/>
  <c r="O280" i="11" s="1"/>
  <c r="O282" i="11"/>
  <c r="L171" i="9"/>
  <c r="O171" i="9" s="1"/>
  <c r="I364" i="9"/>
  <c r="K649" i="10"/>
  <c r="K224" i="11"/>
  <c r="I216" i="11"/>
  <c r="K216" i="11" s="1"/>
  <c r="L229" i="11"/>
  <c r="L331" i="11"/>
  <c r="O331" i="11" s="1"/>
  <c r="I174" i="9"/>
  <c r="K174" i="9" s="1"/>
  <c r="P137" i="10"/>
  <c r="J722" i="10"/>
  <c r="O58" i="11"/>
  <c r="N56" i="11"/>
  <c r="P56" i="11" s="1"/>
  <c r="N55" i="11"/>
  <c r="O96" i="11"/>
  <c r="L94" i="11"/>
  <c r="O94" i="11" s="1"/>
  <c r="O140" i="11"/>
  <c r="L134" i="11"/>
  <c r="L279" i="11"/>
  <c r="L277" i="11" s="1"/>
  <c r="N279" i="11"/>
  <c r="N277" i="11" s="1"/>
  <c r="K309" i="11"/>
  <c r="I297" i="11"/>
  <c r="K297" i="11" s="1"/>
  <c r="O323" i="11"/>
  <c r="L321" i="11"/>
  <c r="O321" i="11" s="1"/>
  <c r="L263" i="10"/>
  <c r="L261" i="10" s="1"/>
  <c r="O170" i="11"/>
  <c r="L167" i="11"/>
  <c r="O186" i="11"/>
  <c r="L184" i="11"/>
  <c r="O184" i="11" s="1"/>
  <c r="L183" i="11"/>
  <c r="L183" i="9"/>
  <c r="L181" i="9" s="1"/>
  <c r="N134" i="10"/>
  <c r="N132" i="10" s="1"/>
  <c r="I260" i="10"/>
  <c r="K260" i="10" s="1"/>
  <c r="K460" i="10"/>
  <c r="P170" i="11"/>
  <c r="M168" i="11"/>
  <c r="M167" i="11"/>
  <c r="K360" i="9"/>
  <c r="K821" i="9"/>
  <c r="K824" i="9"/>
  <c r="K827" i="9"/>
  <c r="M72" i="10"/>
  <c r="P72" i="10" s="1"/>
  <c r="N138" i="10"/>
  <c r="P138" i="10" s="1"/>
  <c r="M167" i="10"/>
  <c r="M165" i="10" s="1"/>
  <c r="O186" i="10"/>
  <c r="M347" i="10"/>
  <c r="M345" i="10" s="1"/>
  <c r="J364" i="10"/>
  <c r="K577" i="10"/>
  <c r="M90" i="11"/>
  <c r="M88" i="11" s="1"/>
  <c r="L168" i="11"/>
  <c r="L249" i="11"/>
  <c r="O249" i="11" s="1"/>
  <c r="M348" i="11"/>
  <c r="P348" i="11" s="1"/>
  <c r="M404" i="11"/>
  <c r="P404" i="11" s="1"/>
  <c r="L59" i="11"/>
  <c r="O59" i="11" s="1"/>
  <c r="L198" i="11"/>
  <c r="O198" i="11" s="1"/>
  <c r="I233" i="11"/>
  <c r="K233" i="11" s="1"/>
  <c r="P323" i="11"/>
  <c r="K466" i="11"/>
  <c r="O44" i="11"/>
  <c r="M125" i="11"/>
  <c r="P125" i="11" s="1"/>
  <c r="M152" i="11"/>
  <c r="P152" i="11" s="1"/>
  <c r="N151" i="11"/>
  <c r="N149" i="11" s="1"/>
  <c r="P301" i="11"/>
  <c r="K365" i="11"/>
  <c r="L404" i="11"/>
  <c r="O404" i="11" s="1"/>
  <c r="L429" i="11"/>
  <c r="O429" i="11" s="1"/>
  <c r="J537" i="11"/>
  <c r="J522" i="11" s="1"/>
  <c r="K649" i="11"/>
  <c r="K823" i="11"/>
  <c r="J143" i="11"/>
  <c r="J131" i="11" s="1"/>
  <c r="J327" i="11"/>
  <c r="K327" i="11" s="1"/>
  <c r="K374" i="11"/>
  <c r="P59" i="11"/>
  <c r="I76" i="11"/>
  <c r="P184" i="11"/>
  <c r="L209" i="11"/>
  <c r="O209" i="11" s="1"/>
  <c r="K369" i="11"/>
  <c r="I522" i="11"/>
  <c r="K522" i="11" s="1"/>
  <c r="K822" i="11"/>
  <c r="K828" i="11"/>
  <c r="N134" i="8"/>
  <c r="N132" i="8" s="1"/>
  <c r="L152" i="10"/>
  <c r="O152" i="10" s="1"/>
  <c r="O154" i="10"/>
  <c r="L151" i="10"/>
  <c r="O151" i="10" s="1"/>
  <c r="L429" i="10"/>
  <c r="O429" i="10" s="1"/>
  <c r="L36" i="10"/>
  <c r="O36" i="10" s="1"/>
  <c r="N19" i="11"/>
  <c r="N12" i="11"/>
  <c r="N23" i="11"/>
  <c r="N21" i="11" s="1"/>
  <c r="N26" i="11"/>
  <c r="N16" i="11" s="1"/>
  <c r="N14" i="11" s="1"/>
  <c r="O69" i="11"/>
  <c r="I112" i="11"/>
  <c r="K112" i="11" s="1"/>
  <c r="K115" i="11"/>
  <c r="L125" i="11"/>
  <c r="O125" i="11" s="1"/>
  <c r="O127" i="11"/>
  <c r="O262" i="11"/>
  <c r="O403" i="11"/>
  <c r="N788" i="11"/>
  <c r="N786" i="11" s="1"/>
  <c r="N789" i="11"/>
  <c r="I785" i="11"/>
  <c r="K785" i="11" s="1"/>
  <c r="K800" i="11"/>
  <c r="M68" i="9"/>
  <c r="M66" i="9" s="1"/>
  <c r="M424" i="9"/>
  <c r="M421" i="9" s="1"/>
  <c r="O424" i="9"/>
  <c r="L422" i="9"/>
  <c r="O422" i="9" s="1"/>
  <c r="K576" i="10"/>
  <c r="I559" i="10"/>
  <c r="I543" i="10" s="1"/>
  <c r="K543" i="10" s="1"/>
  <c r="O42" i="11"/>
  <c r="M69" i="11"/>
  <c r="P69" i="11" s="1"/>
  <c r="P71" i="11"/>
  <c r="M72" i="11"/>
  <c r="P72" i="11" s="1"/>
  <c r="P74" i="11"/>
  <c r="L301" i="11"/>
  <c r="O301" i="11" s="1"/>
  <c r="O303" i="11"/>
  <c r="L300" i="11"/>
  <c r="L23" i="11"/>
  <c r="O528" i="11"/>
  <c r="L525" i="11"/>
  <c r="L526" i="11"/>
  <c r="O526" i="11" s="1"/>
  <c r="N347" i="9"/>
  <c r="N345" i="9" s="1"/>
  <c r="N351" i="9"/>
  <c r="P351" i="9" s="1"/>
  <c r="K79" i="11"/>
  <c r="I77" i="11"/>
  <c r="N90" i="11"/>
  <c r="I87" i="11"/>
  <c r="K87" i="11" s="1"/>
  <c r="K99" i="11"/>
  <c r="P346" i="11"/>
  <c r="P49" i="10"/>
  <c r="M47" i="10"/>
  <c r="P47" i="10" s="1"/>
  <c r="N121" i="10"/>
  <c r="N119" i="10" s="1"/>
  <c r="K287" i="10"/>
  <c r="I276" i="10"/>
  <c r="K276" i="10" s="1"/>
  <c r="N300" i="10"/>
  <c r="O67" i="11"/>
  <c r="N91" i="11"/>
  <c r="O91" i="11" s="1"/>
  <c r="O93" i="11"/>
  <c r="P266" i="11"/>
  <c r="M263" i="11"/>
  <c r="N168" i="10"/>
  <c r="N167" i="10"/>
  <c r="N165" i="10" s="1"/>
  <c r="P89" i="11"/>
  <c r="I77" i="9"/>
  <c r="I65" i="9" s="1"/>
  <c r="K65" i="9" s="1"/>
  <c r="L134" i="9"/>
  <c r="L132" i="9" s="1"/>
  <c r="N263" i="9"/>
  <c r="N261" i="9" s="1"/>
  <c r="I276" i="9"/>
  <c r="K276" i="9" s="1"/>
  <c r="L317" i="9"/>
  <c r="L315" i="9" s="1"/>
  <c r="O315" i="9" s="1"/>
  <c r="O690" i="9"/>
  <c r="L688" i="9"/>
  <c r="O688" i="9" s="1"/>
  <c r="L134" i="10"/>
  <c r="L132" i="10" s="1"/>
  <c r="O137" i="10"/>
  <c r="L135" i="10"/>
  <c r="O135" i="10" s="1"/>
  <c r="K159" i="10"/>
  <c r="I148" i="10"/>
  <c r="K148" i="10" s="1"/>
  <c r="N29" i="11"/>
  <c r="M44" i="11"/>
  <c r="P44" i="11" s="1"/>
  <c r="M23" i="11"/>
  <c r="P46" i="11"/>
  <c r="M47" i="11"/>
  <c r="P47" i="11" s="1"/>
  <c r="P49" i="11"/>
  <c r="M26" i="11"/>
  <c r="N155" i="11"/>
  <c r="K190" i="11"/>
  <c r="K86" i="10"/>
  <c r="L198" i="10"/>
  <c r="O198" i="10" s="1"/>
  <c r="M151" i="11"/>
  <c r="M149" i="11" s="1"/>
  <c r="P262" i="11"/>
  <c r="L267" i="11"/>
  <c r="O267" i="11" s="1"/>
  <c r="O269" i="11"/>
  <c r="M283" i="11"/>
  <c r="P283" i="11" s="1"/>
  <c r="P285" i="11"/>
  <c r="P420" i="11"/>
  <c r="P424" i="11"/>
  <c r="M421" i="11"/>
  <c r="P421" i="11" s="1"/>
  <c r="M422" i="11"/>
  <c r="L533" i="11"/>
  <c r="O533" i="11" s="1"/>
  <c r="O535" i="11"/>
  <c r="M135" i="10"/>
  <c r="P135" i="10" s="1"/>
  <c r="K359" i="10"/>
  <c r="L391" i="10"/>
  <c r="O391" i="10" s="1"/>
  <c r="L469" i="10"/>
  <c r="L467" i="10" s="1"/>
  <c r="O467" i="10" s="1"/>
  <c r="M472" i="10"/>
  <c r="M470" i="10" s="1"/>
  <c r="P470" i="10" s="1"/>
  <c r="M12" i="11"/>
  <c r="M19" i="11"/>
  <c r="O46" i="11"/>
  <c r="O49" i="11"/>
  <c r="O71" i="11"/>
  <c r="O74" i="11"/>
  <c r="P93" i="11"/>
  <c r="P96" i="11"/>
  <c r="L121" i="11"/>
  <c r="N122" i="11"/>
  <c r="K145" i="11"/>
  <c r="L152" i="11"/>
  <c r="O152" i="11" s="1"/>
  <c r="O154" i="11"/>
  <c r="L171" i="11"/>
  <c r="O171" i="11" s="1"/>
  <c r="L187" i="11"/>
  <c r="O187" i="11" s="1"/>
  <c r="L238" i="11"/>
  <c r="P299" i="11"/>
  <c r="L304" i="11"/>
  <c r="O304" i="11" s="1"/>
  <c r="O306" i="11"/>
  <c r="L318" i="11"/>
  <c r="O318" i="11" s="1"/>
  <c r="L330" i="11"/>
  <c r="L351" i="11"/>
  <c r="O351" i="11" s="1"/>
  <c r="N419" i="11"/>
  <c r="O424" i="11"/>
  <c r="N421" i="11"/>
  <c r="N422" i="11"/>
  <c r="N449" i="11"/>
  <c r="P787" i="11"/>
  <c r="M786" i="11"/>
  <c r="P786" i="11" s="1"/>
  <c r="L421" i="9"/>
  <c r="O421" i="9" s="1"/>
  <c r="P186" i="10"/>
  <c r="M280" i="11"/>
  <c r="P280" i="11" s="1"/>
  <c r="P282" i="11"/>
  <c r="L392" i="11"/>
  <c r="O392" i="11" s="1"/>
  <c r="O394" i="11"/>
  <c r="I442" i="11"/>
  <c r="K442" i="11" s="1"/>
  <c r="K460" i="11"/>
  <c r="P630" i="11"/>
  <c r="O93" i="10"/>
  <c r="M279" i="10"/>
  <c r="N279" i="10"/>
  <c r="N277" i="10" s="1"/>
  <c r="L300" i="10"/>
  <c r="L298" i="10" s="1"/>
  <c r="N347" i="10"/>
  <c r="K378" i="10"/>
  <c r="L15" i="11"/>
  <c r="L29" i="11"/>
  <c r="O124" i="11"/>
  <c r="I143" i="11"/>
  <c r="P150" i="11"/>
  <c r="L155" i="11"/>
  <c r="O155" i="11" s="1"/>
  <c r="O157" i="11"/>
  <c r="K193" i="11"/>
  <c r="K255" i="11"/>
  <c r="L317" i="11"/>
  <c r="O317" i="11" s="1"/>
  <c r="L347" i="11"/>
  <c r="K362" i="11"/>
  <c r="L391" i="11"/>
  <c r="P394" i="11"/>
  <c r="M391" i="11"/>
  <c r="K437" i="11"/>
  <c r="J433" i="11"/>
  <c r="L470" i="11"/>
  <c r="O470" i="11" s="1"/>
  <c r="O472" i="11"/>
  <c r="M472" i="11"/>
  <c r="P755" i="11"/>
  <c r="M754" i="11"/>
  <c r="P754" i="11" s="1"/>
  <c r="K372" i="9"/>
  <c r="P93" i="10"/>
  <c r="O303" i="10"/>
  <c r="M351" i="10"/>
  <c r="L546" i="10"/>
  <c r="L544" i="10" s="1"/>
  <c r="O544" i="10" s="1"/>
  <c r="L264" i="11"/>
  <c r="O266" i="11"/>
  <c r="M279" i="11"/>
  <c r="M300" i="11"/>
  <c r="K385" i="11"/>
  <c r="N391" i="11"/>
  <c r="N389" i="11" s="1"/>
  <c r="P397" i="11"/>
  <c r="M395" i="11"/>
  <c r="P395" i="11" s="1"/>
  <c r="J592" i="11"/>
  <c r="K592" i="11" s="1"/>
  <c r="K593" i="11"/>
  <c r="O397" i="11"/>
  <c r="I559" i="11"/>
  <c r="K576" i="11"/>
  <c r="P686" i="11"/>
  <c r="M685" i="11"/>
  <c r="P685" i="11" s="1"/>
  <c r="P806" i="11"/>
  <c r="M805" i="11"/>
  <c r="P805" i="11" s="1"/>
  <c r="K146" i="11"/>
  <c r="I197" i="11"/>
  <c r="K197" i="11" s="1"/>
  <c r="L421" i="11"/>
  <c r="L447" i="11"/>
  <c r="O449" i="11"/>
  <c r="O468" i="11"/>
  <c r="L555" i="11"/>
  <c r="O555" i="11" s="1"/>
  <c r="L546" i="11"/>
  <c r="M631" i="11"/>
  <c r="P631" i="11" s="1"/>
  <c r="M632" i="11"/>
  <c r="P632" i="11" s="1"/>
  <c r="P634" i="11"/>
  <c r="N737" i="11"/>
  <c r="I237" i="11"/>
  <c r="M330" i="11"/>
  <c r="M347" i="11"/>
  <c r="M449" i="11"/>
  <c r="N470" i="11"/>
  <c r="O557" i="11"/>
  <c r="K568" i="11"/>
  <c r="K577" i="11"/>
  <c r="L786" i="11"/>
  <c r="O786" i="11" s="1"/>
  <c r="P545" i="11"/>
  <c r="K675" i="11"/>
  <c r="L632" i="11"/>
  <c r="O632" i="11" s="1"/>
  <c r="K669" i="11"/>
  <c r="L687" i="11"/>
  <c r="M68" i="5"/>
  <c r="M66" i="5" s="1"/>
  <c r="N43" i="10"/>
  <c r="N41" i="10" s="1"/>
  <c r="L47" i="10"/>
  <c r="O47" i="10" s="1"/>
  <c r="O71" i="10"/>
  <c r="P140" i="10"/>
  <c r="M152" i="10"/>
  <c r="P152" i="10" s="1"/>
  <c r="O269" i="10"/>
  <c r="O301" i="10"/>
  <c r="N351" i="10"/>
  <c r="I434" i="10"/>
  <c r="I418" i="10" s="1"/>
  <c r="K418" i="10" s="1"/>
  <c r="I628" i="10"/>
  <c r="K628" i="10" s="1"/>
  <c r="K821" i="10"/>
  <c r="K824" i="10"/>
  <c r="K827" i="10"/>
  <c r="L55" i="10"/>
  <c r="P71" i="10"/>
  <c r="L183" i="10"/>
  <c r="L181" i="10" s="1"/>
  <c r="N183" i="10"/>
  <c r="N181" i="10" s="1"/>
  <c r="L231" i="10"/>
  <c r="P303" i="10"/>
  <c r="K340" i="10"/>
  <c r="K360" i="10"/>
  <c r="N391" i="10"/>
  <c r="N389" i="10" s="1"/>
  <c r="L525" i="10"/>
  <c r="O525" i="10" s="1"/>
  <c r="N90" i="9"/>
  <c r="N88" i="9" s="1"/>
  <c r="L267" i="9"/>
  <c r="O267" i="9" s="1"/>
  <c r="L300" i="9"/>
  <c r="O350" i="9"/>
  <c r="N23" i="10"/>
  <c r="M26" i="10"/>
  <c r="M16" i="10" s="1"/>
  <c r="N90" i="10"/>
  <c r="N88" i="10" s="1"/>
  <c r="M94" i="10"/>
  <c r="P94" i="10" s="1"/>
  <c r="M134" i="10"/>
  <c r="P285" i="10"/>
  <c r="L304" i="10"/>
  <c r="O304" i="10" s="1"/>
  <c r="O306" i="10"/>
  <c r="O320" i="10"/>
  <c r="M43" i="9"/>
  <c r="M41" i="9" s="1"/>
  <c r="O140" i="9"/>
  <c r="O323" i="9"/>
  <c r="P353" i="9"/>
  <c r="N26" i="10"/>
  <c r="L23" i="10"/>
  <c r="L21" i="10" s="1"/>
  <c r="O61" i="10"/>
  <c r="L72" i="10"/>
  <c r="O72" i="10" s="1"/>
  <c r="I76" i="10"/>
  <c r="I64" i="10" s="1"/>
  <c r="K64" i="10" s="1"/>
  <c r="I112" i="10"/>
  <c r="K112" i="10" s="1"/>
  <c r="K145" i="10"/>
  <c r="N263" i="10"/>
  <c r="N261" i="10" s="1"/>
  <c r="K372" i="10"/>
  <c r="I443" i="10"/>
  <c r="K443" i="10" s="1"/>
  <c r="L230" i="8"/>
  <c r="L187" i="9"/>
  <c r="O187" i="9" s="1"/>
  <c r="P46" i="10"/>
  <c r="N68" i="10"/>
  <c r="N66" i="10" s="1"/>
  <c r="I216" i="10"/>
  <c r="K216" i="10" s="1"/>
  <c r="N264" i="10"/>
  <c r="P264" i="10" s="1"/>
  <c r="L279" i="10"/>
  <c r="L277" i="10" s="1"/>
  <c r="J721" i="10"/>
  <c r="M405" i="10"/>
  <c r="P405" i="10" s="1"/>
  <c r="M404" i="10"/>
  <c r="O410" i="10"/>
  <c r="L408" i="10"/>
  <c r="O408" i="10" s="1"/>
  <c r="K674" i="10"/>
  <c r="O690" i="10"/>
  <c r="L688" i="10"/>
  <c r="O688" i="10" s="1"/>
  <c r="O791" i="10"/>
  <c r="L788" i="10"/>
  <c r="O788" i="10" s="1"/>
  <c r="N183" i="8"/>
  <c r="N181" i="8" s="1"/>
  <c r="L69" i="10"/>
  <c r="O69" i="10" s="1"/>
  <c r="L122" i="10"/>
  <c r="O122" i="10" s="1"/>
  <c r="O124" i="10"/>
  <c r="L125" i="10"/>
  <c r="O125" i="10" s="1"/>
  <c r="O127" i="10"/>
  <c r="M168" i="10"/>
  <c r="P173" i="10"/>
  <c r="M171" i="10"/>
  <c r="P171" i="10" s="1"/>
  <c r="K215" i="10"/>
  <c r="I208" i="10"/>
  <c r="K208" i="10" s="1"/>
  <c r="M321" i="10"/>
  <c r="P321" i="10" s="1"/>
  <c r="N331" i="10"/>
  <c r="P331" i="10" s="1"/>
  <c r="L347" i="10"/>
  <c r="L345" i="10" s="1"/>
  <c r="O350" i="10"/>
  <c r="N405" i="10"/>
  <c r="N404" i="10"/>
  <c r="N402" i="10" s="1"/>
  <c r="M408" i="10"/>
  <c r="P408" i="10" s="1"/>
  <c r="P410" i="10"/>
  <c r="M546" i="10"/>
  <c r="L658" i="10"/>
  <c r="O658" i="10" s="1"/>
  <c r="O660" i="10"/>
  <c r="L657" i="10"/>
  <c r="L59" i="9"/>
  <c r="O59" i="9" s="1"/>
  <c r="M69" i="9"/>
  <c r="O71" i="9"/>
  <c r="K378" i="9"/>
  <c r="J721" i="9"/>
  <c r="L44" i="10"/>
  <c r="O44" i="10" s="1"/>
  <c r="O58" i="10"/>
  <c r="M69" i="10"/>
  <c r="P69" i="10" s="1"/>
  <c r="I87" i="10"/>
  <c r="K87" i="10" s="1"/>
  <c r="M91" i="10"/>
  <c r="P91" i="10" s="1"/>
  <c r="P170" i="10"/>
  <c r="P266" i="10"/>
  <c r="M263" i="10"/>
  <c r="M280" i="10"/>
  <c r="P282" i="10"/>
  <c r="L317" i="10"/>
  <c r="O317" i="10" s="1"/>
  <c r="J327" i="10"/>
  <c r="K327" i="10" s="1"/>
  <c r="L348" i="10"/>
  <c r="O348" i="10" s="1"/>
  <c r="O549" i="10"/>
  <c r="K647" i="10"/>
  <c r="L43" i="9"/>
  <c r="L41" i="9" s="1"/>
  <c r="O331" i="9"/>
  <c r="L391" i="9"/>
  <c r="O391" i="9" s="1"/>
  <c r="L469" i="9"/>
  <c r="O469" i="9" s="1"/>
  <c r="M44" i="10"/>
  <c r="P44" i="10" s="1"/>
  <c r="O46" i="10"/>
  <c r="L26" i="10"/>
  <c r="L24" i="10" s="1"/>
  <c r="L68" i="10"/>
  <c r="I174" i="10"/>
  <c r="O189" i="10"/>
  <c r="L187" i="10"/>
  <c r="O187" i="10" s="1"/>
  <c r="K193" i="10"/>
  <c r="I190" i="10"/>
  <c r="K190" i="10" s="1"/>
  <c r="M348" i="10"/>
  <c r="P348" i="10" s="1"/>
  <c r="M392" i="10"/>
  <c r="P392" i="10" s="1"/>
  <c r="P407" i="10"/>
  <c r="O479" i="10"/>
  <c r="L547" i="10"/>
  <c r="O547" i="10" s="1"/>
  <c r="P549" i="10"/>
  <c r="L43" i="10"/>
  <c r="M68" i="10"/>
  <c r="K100" i="10"/>
  <c r="L184" i="10"/>
  <c r="O184" i="10" s="1"/>
  <c r="O266" i="10"/>
  <c r="O336" i="10"/>
  <c r="L334" i="10"/>
  <c r="O334" i="10" s="1"/>
  <c r="I364" i="10"/>
  <c r="K370" i="10"/>
  <c r="K374" i="10"/>
  <c r="O431" i="10"/>
  <c r="J433" i="10"/>
  <c r="J417" i="10" s="1"/>
  <c r="K440" i="10"/>
  <c r="O528" i="10"/>
  <c r="K385" i="9"/>
  <c r="L404" i="9"/>
  <c r="L402" i="9" s="1"/>
  <c r="O402" i="9" s="1"/>
  <c r="M23" i="10"/>
  <c r="L33" i="10"/>
  <c r="M43" i="10"/>
  <c r="O56" i="10"/>
  <c r="M90" i="10"/>
  <c r="J143" i="10"/>
  <c r="J131" i="10" s="1"/>
  <c r="L167" i="10"/>
  <c r="O170" i="10"/>
  <c r="M330" i="10"/>
  <c r="P333" i="10"/>
  <c r="K379" i="10"/>
  <c r="L404" i="10"/>
  <c r="L533" i="10"/>
  <c r="O533" i="10" s="1"/>
  <c r="O535" i="10"/>
  <c r="K672" i="10"/>
  <c r="O140" i="10"/>
  <c r="L238" i="10"/>
  <c r="O238" i="10" s="1"/>
  <c r="O282" i="10"/>
  <c r="P336" i="10"/>
  <c r="O353" i="10"/>
  <c r="K369" i="10"/>
  <c r="K569" i="10"/>
  <c r="K822" i="10"/>
  <c r="K828" i="10"/>
  <c r="L229" i="10"/>
  <c r="N280" i="10"/>
  <c r="O280" i="10" s="1"/>
  <c r="N317" i="10"/>
  <c r="N315" i="10" s="1"/>
  <c r="K365" i="10"/>
  <c r="K561" i="10"/>
  <c r="K823" i="10"/>
  <c r="M634" i="7"/>
  <c r="M632" i="7" s="1"/>
  <c r="N317" i="8"/>
  <c r="N315" i="8" s="1"/>
  <c r="K701" i="8"/>
  <c r="M72" i="9"/>
  <c r="P72" i="9" s="1"/>
  <c r="N121" i="9"/>
  <c r="N119" i="9" s="1"/>
  <c r="N151" i="9"/>
  <c r="N149" i="9" s="1"/>
  <c r="N23" i="9"/>
  <c r="N13" i="9" s="1"/>
  <c r="N11" i="9" s="1"/>
  <c r="M301" i="9"/>
  <c r="P301" i="9" s="1"/>
  <c r="P303" i="9"/>
  <c r="L43" i="8"/>
  <c r="L41" i="8" s="1"/>
  <c r="L405" i="8"/>
  <c r="O405" i="8" s="1"/>
  <c r="L408" i="8"/>
  <c r="O408" i="8" s="1"/>
  <c r="K720" i="8"/>
  <c r="M279" i="9"/>
  <c r="P279" i="9" s="1"/>
  <c r="K288" i="9"/>
  <c r="I275" i="9"/>
  <c r="K275" i="9" s="1"/>
  <c r="L47" i="7"/>
  <c r="O47" i="7" s="1"/>
  <c r="K379" i="8"/>
  <c r="L125" i="9"/>
  <c r="O125" i="9" s="1"/>
  <c r="O127" i="9"/>
  <c r="I442" i="7"/>
  <c r="K442" i="7" s="1"/>
  <c r="K729" i="8"/>
  <c r="N55" i="9"/>
  <c r="N53" i="9" s="1"/>
  <c r="M151" i="9"/>
  <c r="P151" i="9" s="1"/>
  <c r="P49" i="9"/>
  <c r="M47" i="9"/>
  <c r="P47" i="9" s="1"/>
  <c r="M392" i="9"/>
  <c r="P392" i="9" s="1"/>
  <c r="P394" i="9"/>
  <c r="I131" i="10"/>
  <c r="L231" i="9"/>
  <c r="L301" i="9"/>
  <c r="O301" i="9" s="1"/>
  <c r="M330" i="9"/>
  <c r="M328" i="9" s="1"/>
  <c r="O431" i="9"/>
  <c r="L446" i="9"/>
  <c r="L444" i="9" s="1"/>
  <c r="N12" i="10"/>
  <c r="M55" i="10"/>
  <c r="K80" i="10"/>
  <c r="L91" i="10"/>
  <c r="O91" i="10" s="1"/>
  <c r="M122" i="10"/>
  <c r="P122" i="10" s="1"/>
  <c r="I130" i="10"/>
  <c r="K130" i="10" s="1"/>
  <c r="K146" i="10"/>
  <c r="N151" i="10"/>
  <c r="N149" i="10" s="1"/>
  <c r="M155" i="10"/>
  <c r="P155" i="10" s="1"/>
  <c r="L171" i="10"/>
  <c r="O171" i="10" s="1"/>
  <c r="M183" i="10"/>
  <c r="P189" i="10"/>
  <c r="K204" i="10"/>
  <c r="I197" i="10"/>
  <c r="K197" i="10" s="1"/>
  <c r="K355" i="10"/>
  <c r="K649" i="9"/>
  <c r="L405" i="9"/>
  <c r="O405" i="9" s="1"/>
  <c r="M15" i="10"/>
  <c r="M29" i="10"/>
  <c r="L90" i="10"/>
  <c r="K98" i="10"/>
  <c r="L121" i="10"/>
  <c r="O121" i="10" s="1"/>
  <c r="P184" i="10"/>
  <c r="M304" i="10"/>
  <c r="P304" i="10" s="1"/>
  <c r="P306" i="10"/>
  <c r="P316" i="10"/>
  <c r="O186" i="9"/>
  <c r="L198" i="9"/>
  <c r="O198" i="9" s="1"/>
  <c r="L94" i="10"/>
  <c r="O94" i="10" s="1"/>
  <c r="M121" i="10"/>
  <c r="L168" i="10"/>
  <c r="L209" i="10"/>
  <c r="O209" i="10" s="1"/>
  <c r="L228" i="10"/>
  <c r="L249" i="10"/>
  <c r="O249" i="10" s="1"/>
  <c r="M334" i="10"/>
  <c r="P334" i="10" s="1"/>
  <c r="L12" i="10"/>
  <c r="L19" i="10"/>
  <c r="M56" i="10"/>
  <c r="P56" i="10" s="1"/>
  <c r="M125" i="10"/>
  <c r="P125" i="10" s="1"/>
  <c r="O333" i="10"/>
  <c r="L330" i="10"/>
  <c r="M151" i="10"/>
  <c r="O630" i="10"/>
  <c r="P738" i="10"/>
  <c r="M737" i="10"/>
  <c r="P737" i="10" s="1"/>
  <c r="P771" i="10"/>
  <c r="M770" i="10"/>
  <c r="P770" i="10" s="1"/>
  <c r="P788" i="10"/>
  <c r="M786" i="10"/>
  <c r="P786" i="10" s="1"/>
  <c r="P807" i="10"/>
  <c r="M805" i="10"/>
  <c r="P805" i="10" s="1"/>
  <c r="O262" i="10"/>
  <c r="P278" i="10"/>
  <c r="I297" i="10"/>
  <c r="K297" i="10" s="1"/>
  <c r="P350" i="10"/>
  <c r="M391" i="10"/>
  <c r="L392" i="10"/>
  <c r="O392" i="10" s="1"/>
  <c r="O394" i="10"/>
  <c r="N505" i="10"/>
  <c r="M632" i="10"/>
  <c r="P632" i="10" s="1"/>
  <c r="O641" i="10"/>
  <c r="O787" i="10"/>
  <c r="I785" i="10"/>
  <c r="K785" i="10" s="1"/>
  <c r="K800" i="10"/>
  <c r="O806" i="10"/>
  <c r="L805" i="10"/>
  <c r="O805" i="10" s="1"/>
  <c r="I77" i="10"/>
  <c r="I237" i="10"/>
  <c r="M300" i="10"/>
  <c r="M318" i="10"/>
  <c r="P318" i="10" s="1"/>
  <c r="L351" i="10"/>
  <c r="O390" i="10"/>
  <c r="L395" i="10"/>
  <c r="O395" i="10" s="1"/>
  <c r="O397" i="10"/>
  <c r="L446" i="10"/>
  <c r="O449" i="10"/>
  <c r="M449" i="10"/>
  <c r="P468" i="10"/>
  <c r="M523" i="10"/>
  <c r="P523" i="10" s="1"/>
  <c r="P687" i="10"/>
  <c r="M685" i="10"/>
  <c r="P685" i="10" s="1"/>
  <c r="P755" i="10"/>
  <c r="M754" i="10"/>
  <c r="P754" i="10" s="1"/>
  <c r="J288" i="10"/>
  <c r="J275" i="10" s="1"/>
  <c r="K275" i="10" s="1"/>
  <c r="M317" i="10"/>
  <c r="P317" i="10" s="1"/>
  <c r="M395" i="10"/>
  <c r="P395" i="10" s="1"/>
  <c r="L422" i="10"/>
  <c r="O422" i="10" s="1"/>
  <c r="O424" i="10"/>
  <c r="O447" i="10"/>
  <c r="L454" i="10"/>
  <c r="O454" i="10" s="1"/>
  <c r="P504" i="10"/>
  <c r="M502" i="10"/>
  <c r="P502" i="10" s="1"/>
  <c r="I522" i="10"/>
  <c r="K522" i="10" s="1"/>
  <c r="K537" i="10"/>
  <c r="L631" i="10"/>
  <c r="O631" i="10" s="1"/>
  <c r="I233" i="10"/>
  <c r="K233" i="10" s="1"/>
  <c r="I248" i="10"/>
  <c r="K248" i="10" s="1"/>
  <c r="K362" i="10"/>
  <c r="O420" i="10"/>
  <c r="L419" i="10"/>
  <c r="M424" i="10"/>
  <c r="O503" i="10"/>
  <c r="L502" i="10"/>
  <c r="O502" i="10" s="1"/>
  <c r="J537" i="10"/>
  <c r="J522" i="10" s="1"/>
  <c r="I592" i="10"/>
  <c r="K592" i="10" s="1"/>
  <c r="K593" i="10"/>
  <c r="M631" i="10"/>
  <c r="L632" i="10"/>
  <c r="O632" i="10" s="1"/>
  <c r="O634" i="10"/>
  <c r="O686" i="10"/>
  <c r="O472" i="10"/>
  <c r="I654" i="10"/>
  <c r="K654" i="10" s="1"/>
  <c r="K675" i="10"/>
  <c r="K669" i="10"/>
  <c r="L687" i="10"/>
  <c r="O687" i="10" s="1"/>
  <c r="M59" i="9"/>
  <c r="P59" i="9" s="1"/>
  <c r="K79" i="9"/>
  <c r="K146" i="9"/>
  <c r="K340" i="9"/>
  <c r="N59" i="9"/>
  <c r="L94" i="9"/>
  <c r="O94" i="9" s="1"/>
  <c r="P138" i="9"/>
  <c r="L304" i="9"/>
  <c r="O304" i="9" s="1"/>
  <c r="M331" i="9"/>
  <c r="P331" i="9" s="1"/>
  <c r="L334" i="9"/>
  <c r="O334" i="9" s="1"/>
  <c r="J327" i="9"/>
  <c r="K327" i="9" s="1"/>
  <c r="O348" i="9"/>
  <c r="K369" i="9"/>
  <c r="L395" i="9"/>
  <c r="O395" i="9" s="1"/>
  <c r="N43" i="8"/>
  <c r="O170" i="8"/>
  <c r="O58" i="9"/>
  <c r="L68" i="9"/>
  <c r="L66" i="9" s="1"/>
  <c r="L121" i="9"/>
  <c r="L155" i="9"/>
  <c r="O155" i="9" s="1"/>
  <c r="L230" i="9"/>
  <c r="L280" i="9"/>
  <c r="O280" i="9" s="1"/>
  <c r="M334" i="9"/>
  <c r="P334" i="9" s="1"/>
  <c r="K374" i="9"/>
  <c r="L408" i="9"/>
  <c r="O408" i="9" s="1"/>
  <c r="O410" i="9"/>
  <c r="P58" i="9"/>
  <c r="L122" i="9"/>
  <c r="O122" i="9" s="1"/>
  <c r="P170" i="9"/>
  <c r="L209" i="9"/>
  <c r="O209" i="9" s="1"/>
  <c r="P282" i="9"/>
  <c r="M318" i="9"/>
  <c r="P318" i="9" s="1"/>
  <c r="K370" i="9"/>
  <c r="I522" i="9"/>
  <c r="K522" i="9" s="1"/>
  <c r="K355" i="8"/>
  <c r="O91" i="9"/>
  <c r="P186" i="9"/>
  <c r="I208" i="9"/>
  <c r="K208" i="9" s="1"/>
  <c r="K647" i="9"/>
  <c r="K822" i="9"/>
  <c r="K828" i="9"/>
  <c r="L23" i="9"/>
  <c r="L21" i="9" s="1"/>
  <c r="O56" i="9"/>
  <c r="O93" i="9"/>
  <c r="L658" i="9"/>
  <c r="O658" i="9" s="1"/>
  <c r="L657" i="9"/>
  <c r="O660" i="9"/>
  <c r="K365" i="6"/>
  <c r="M304" i="8"/>
  <c r="P304" i="8" s="1"/>
  <c r="M23" i="9"/>
  <c r="M56" i="9"/>
  <c r="P56" i="9" s="1"/>
  <c r="K87" i="9"/>
  <c r="I112" i="9"/>
  <c r="K112" i="9" s="1"/>
  <c r="N122" i="9"/>
  <c r="P125" i="9"/>
  <c r="I216" i="9"/>
  <c r="K216" i="9" s="1"/>
  <c r="L238" i="9"/>
  <c r="O238" i="9" s="1"/>
  <c r="O264" i="9"/>
  <c r="K271" i="9"/>
  <c r="I260" i="9"/>
  <c r="K260" i="9" s="1"/>
  <c r="P323" i="9"/>
  <c r="M317" i="9"/>
  <c r="P317" i="9" s="1"/>
  <c r="N404" i="9"/>
  <c r="N402" i="9" s="1"/>
  <c r="N408" i="9"/>
  <c r="M318" i="7"/>
  <c r="P318" i="7" s="1"/>
  <c r="L47" i="8"/>
  <c r="O47" i="8" s="1"/>
  <c r="N121" i="8"/>
  <c r="N119" i="8" s="1"/>
  <c r="I522" i="8"/>
  <c r="K522" i="8" s="1"/>
  <c r="K822" i="8"/>
  <c r="K825" i="8"/>
  <c r="K828" i="8"/>
  <c r="N68" i="9"/>
  <c r="L90" i="9"/>
  <c r="O137" i="9"/>
  <c r="L151" i="9"/>
  <c r="O151" i="9" s="1"/>
  <c r="O154" i="9"/>
  <c r="N300" i="9"/>
  <c r="N298" i="9" s="1"/>
  <c r="N301" i="9"/>
  <c r="P348" i="9"/>
  <c r="O353" i="9"/>
  <c r="L351" i="9"/>
  <c r="L631" i="9"/>
  <c r="O631" i="9" s="1"/>
  <c r="O634" i="9"/>
  <c r="L632" i="9"/>
  <c r="O632" i="9" s="1"/>
  <c r="M634" i="9"/>
  <c r="M631" i="9" s="1"/>
  <c r="P631" i="9" s="1"/>
  <c r="O285" i="9"/>
  <c r="L283" i="9"/>
  <c r="O283" i="9" s="1"/>
  <c r="L279" i="9"/>
  <c r="J628" i="9"/>
  <c r="K628" i="9" s="1"/>
  <c r="K651" i="9"/>
  <c r="K460" i="6"/>
  <c r="O93" i="8"/>
  <c r="I216" i="8"/>
  <c r="K216" i="8" s="1"/>
  <c r="M347" i="8"/>
  <c r="M345" i="8" s="1"/>
  <c r="K360" i="8"/>
  <c r="M55" i="9"/>
  <c r="P91" i="9"/>
  <c r="M134" i="9"/>
  <c r="M132" i="9" s="1"/>
  <c r="N134" i="9"/>
  <c r="N132" i="9" s="1"/>
  <c r="N135" i="9"/>
  <c r="I197" i="9"/>
  <c r="K197" i="9" s="1"/>
  <c r="L263" i="9"/>
  <c r="O266" i="9"/>
  <c r="L546" i="9"/>
  <c r="O549" i="9"/>
  <c r="L547" i="9"/>
  <c r="O547" i="9" s="1"/>
  <c r="M549" i="9"/>
  <c r="M547" i="9" s="1"/>
  <c r="P547" i="9" s="1"/>
  <c r="P93" i="8"/>
  <c r="K649" i="8"/>
  <c r="K98" i="9"/>
  <c r="P140" i="9"/>
  <c r="K159" i="9"/>
  <c r="I148" i="9"/>
  <c r="K148" i="9" s="1"/>
  <c r="L217" i="9"/>
  <c r="O217" i="9" s="1"/>
  <c r="L228" i="9"/>
  <c r="N330" i="9"/>
  <c r="N328" i="9" s="1"/>
  <c r="M395" i="9"/>
  <c r="P395" i="9" s="1"/>
  <c r="P397" i="9"/>
  <c r="I433" i="9"/>
  <c r="I417" i="9" s="1"/>
  <c r="K435" i="9"/>
  <c r="K673" i="9"/>
  <c r="K672" i="9"/>
  <c r="P137" i="9"/>
  <c r="O333" i="9"/>
  <c r="L525" i="9"/>
  <c r="O525" i="9" s="1"/>
  <c r="I559" i="9"/>
  <c r="K338" i="9"/>
  <c r="L347" i="9"/>
  <c r="K359" i="9"/>
  <c r="K362" i="9"/>
  <c r="N391" i="9"/>
  <c r="N389" i="9" s="1"/>
  <c r="K577" i="9"/>
  <c r="J722" i="9"/>
  <c r="L788" i="9"/>
  <c r="O788" i="9" s="1"/>
  <c r="K823" i="9"/>
  <c r="M283" i="9"/>
  <c r="P283" i="9" s="1"/>
  <c r="I314" i="9"/>
  <c r="K314" i="9" s="1"/>
  <c r="L318" i="9"/>
  <c r="O318" i="9" s="1"/>
  <c r="P333" i="9"/>
  <c r="K355" i="9"/>
  <c r="L392" i="9"/>
  <c r="O392" i="9" s="1"/>
  <c r="P135" i="9"/>
  <c r="L229" i="9"/>
  <c r="L330" i="9"/>
  <c r="L328" i="9" s="1"/>
  <c r="O535" i="9"/>
  <c r="L789" i="9"/>
  <c r="O789" i="9" s="1"/>
  <c r="O262" i="9"/>
  <c r="P278" i="9"/>
  <c r="K309" i="9"/>
  <c r="I297" i="9"/>
  <c r="K297" i="9" s="1"/>
  <c r="P807" i="9"/>
  <c r="M805" i="9"/>
  <c r="P805" i="9" s="1"/>
  <c r="N134" i="7"/>
  <c r="N132" i="7" s="1"/>
  <c r="M151" i="7"/>
  <c r="M149" i="7" s="1"/>
  <c r="I148" i="8"/>
  <c r="K148" i="8" s="1"/>
  <c r="M167" i="8"/>
  <c r="M165" i="8" s="1"/>
  <c r="L183" i="8"/>
  <c r="L231" i="8"/>
  <c r="N263" i="8"/>
  <c r="N261" i="8" s="1"/>
  <c r="I276" i="8"/>
  <c r="K276" i="8" s="1"/>
  <c r="P303" i="8"/>
  <c r="P410" i="8"/>
  <c r="L454" i="8"/>
  <c r="O454" i="8" s="1"/>
  <c r="L12" i="9"/>
  <c r="P22" i="9"/>
  <c r="P71" i="9"/>
  <c r="N69" i="9"/>
  <c r="O89" i="9"/>
  <c r="O120" i="9"/>
  <c r="J143" i="9"/>
  <c r="J131" i="9" s="1"/>
  <c r="K145" i="9"/>
  <c r="I143" i="9"/>
  <c r="M264" i="9"/>
  <c r="P264" i="9" s="1"/>
  <c r="P266" i="9"/>
  <c r="N318" i="9"/>
  <c r="N317" i="9"/>
  <c r="N315" i="9" s="1"/>
  <c r="P350" i="9"/>
  <c r="M347" i="9"/>
  <c r="K381" i="9"/>
  <c r="P407" i="9"/>
  <c r="M405" i="9"/>
  <c r="P405" i="9" s="1"/>
  <c r="M404" i="9"/>
  <c r="P404" i="9" s="1"/>
  <c r="O686" i="9"/>
  <c r="P738" i="9"/>
  <c r="M737" i="9"/>
  <c r="P737" i="9" s="1"/>
  <c r="P771" i="9"/>
  <c r="M770" i="9"/>
  <c r="P770" i="9" s="1"/>
  <c r="P788" i="9"/>
  <c r="M786" i="9"/>
  <c r="P786" i="9" s="1"/>
  <c r="O303" i="8"/>
  <c r="I314" i="8"/>
  <c r="K314" i="8" s="1"/>
  <c r="M12" i="9"/>
  <c r="P29" i="9"/>
  <c r="I76" i="9"/>
  <c r="K80" i="9"/>
  <c r="O150" i="9"/>
  <c r="L454" i="9"/>
  <c r="O454" i="9" s="1"/>
  <c r="O456" i="9"/>
  <c r="L36" i="9"/>
  <c r="L44" i="8"/>
  <c r="O44" i="8" s="1"/>
  <c r="K672" i="8"/>
  <c r="N9" i="9"/>
  <c r="M15" i="9"/>
  <c r="M19" i="9"/>
  <c r="M26" i="9"/>
  <c r="P35" i="9"/>
  <c r="P46" i="9"/>
  <c r="N44" i="9"/>
  <c r="O44" i="9" s="1"/>
  <c r="P96" i="9"/>
  <c r="K99" i="9"/>
  <c r="P127" i="9"/>
  <c r="M152" i="9"/>
  <c r="P152" i="9" s="1"/>
  <c r="P154" i="9"/>
  <c r="M267" i="9"/>
  <c r="P267" i="9" s="1"/>
  <c r="P269" i="9"/>
  <c r="L183" i="6"/>
  <c r="L181" i="6" s="1"/>
  <c r="L317" i="6"/>
  <c r="L315" i="6" s="1"/>
  <c r="M47" i="7"/>
  <c r="P47" i="7" s="1"/>
  <c r="K100" i="7"/>
  <c r="I130" i="7"/>
  <c r="K130" i="7" s="1"/>
  <c r="L209" i="7"/>
  <c r="O209" i="7" s="1"/>
  <c r="M392" i="7"/>
  <c r="P392" i="7" s="1"/>
  <c r="N68" i="8"/>
  <c r="N66" i="8" s="1"/>
  <c r="N184" i="8"/>
  <c r="O184" i="8" s="1"/>
  <c r="N19" i="9"/>
  <c r="N26" i="9"/>
  <c r="N24" i="9" s="1"/>
  <c r="O46" i="9"/>
  <c r="L47" i="9"/>
  <c r="O47" i="9" s="1"/>
  <c r="L26" i="9"/>
  <c r="L55" i="9"/>
  <c r="M90" i="9"/>
  <c r="M121" i="9"/>
  <c r="P59" i="7"/>
  <c r="M94" i="7"/>
  <c r="P94" i="7" s="1"/>
  <c r="I112" i="7"/>
  <c r="K112" i="7" s="1"/>
  <c r="J785" i="7"/>
  <c r="N90" i="8"/>
  <c r="N88" i="8" s="1"/>
  <c r="O154" i="8"/>
  <c r="K378" i="8"/>
  <c r="L404" i="8"/>
  <c r="O404" i="8" s="1"/>
  <c r="J721" i="8"/>
  <c r="K721" i="8" s="1"/>
  <c r="O74" i="9"/>
  <c r="P93" i="9"/>
  <c r="P124" i="9"/>
  <c r="O133" i="9"/>
  <c r="M155" i="9"/>
  <c r="P155" i="9" s="1"/>
  <c r="P157" i="9"/>
  <c r="I190" i="9"/>
  <c r="K190" i="9" s="1"/>
  <c r="K255" i="9"/>
  <c r="I248" i="9"/>
  <c r="K248" i="9" s="1"/>
  <c r="M263" i="9"/>
  <c r="N279" i="9"/>
  <c r="N277" i="9" s="1"/>
  <c r="J364" i="9"/>
  <c r="K365" i="9"/>
  <c r="M469" i="9"/>
  <c r="P469" i="9" s="1"/>
  <c r="P472" i="9"/>
  <c r="M470" i="9"/>
  <c r="P470" i="9" s="1"/>
  <c r="L33" i="9"/>
  <c r="P133" i="9"/>
  <c r="L135" i="9"/>
  <c r="L138" i="9"/>
  <c r="O138" i="9" s="1"/>
  <c r="M168" i="9"/>
  <c r="M171" i="9"/>
  <c r="P171" i="9" s="1"/>
  <c r="M184" i="9"/>
  <c r="M187" i="9"/>
  <c r="P187" i="9" s="1"/>
  <c r="I233" i="9"/>
  <c r="K233" i="9" s="1"/>
  <c r="O320" i="9"/>
  <c r="K379" i="9"/>
  <c r="M391" i="9"/>
  <c r="I442" i="9"/>
  <c r="K442" i="9" s="1"/>
  <c r="P504" i="9"/>
  <c r="M502" i="9"/>
  <c r="P502" i="9" s="1"/>
  <c r="J537" i="9"/>
  <c r="J522" i="9" s="1"/>
  <c r="O787" i="9"/>
  <c r="I785" i="9"/>
  <c r="K785" i="9" s="1"/>
  <c r="K800" i="9"/>
  <c r="O806" i="9"/>
  <c r="L805" i="9"/>
  <c r="O805" i="9" s="1"/>
  <c r="N168" i="9"/>
  <c r="O168" i="9" s="1"/>
  <c r="N184" i="9"/>
  <c r="O184" i="9" s="1"/>
  <c r="J433" i="9"/>
  <c r="J417" i="9" s="1"/>
  <c r="I434" i="9"/>
  <c r="K438" i="9"/>
  <c r="O503" i="9"/>
  <c r="L502" i="9"/>
  <c r="O502" i="9" s="1"/>
  <c r="O630" i="9"/>
  <c r="L447" i="9"/>
  <c r="O447" i="9" s="1"/>
  <c r="M449" i="9"/>
  <c r="P468" i="9"/>
  <c r="P755" i="9"/>
  <c r="M754" i="9"/>
  <c r="P754" i="9" s="1"/>
  <c r="I237" i="9"/>
  <c r="L249" i="9"/>
  <c r="O249" i="9" s="1"/>
  <c r="M300" i="9"/>
  <c r="P300" i="9" s="1"/>
  <c r="P410" i="9"/>
  <c r="M408" i="9"/>
  <c r="P408" i="9" s="1"/>
  <c r="I443" i="9"/>
  <c r="K443" i="9" s="1"/>
  <c r="K462" i="9"/>
  <c r="N523" i="9"/>
  <c r="N414" i="9" s="1"/>
  <c r="I592" i="9"/>
  <c r="K592" i="9" s="1"/>
  <c r="K593" i="9"/>
  <c r="P687" i="9"/>
  <c r="M685" i="9"/>
  <c r="P685" i="9" s="1"/>
  <c r="N789" i="9"/>
  <c r="P306" i="9"/>
  <c r="O420" i="9"/>
  <c r="O449" i="9"/>
  <c r="O472" i="9"/>
  <c r="O524" i="9"/>
  <c r="I654" i="9"/>
  <c r="K654" i="9" s="1"/>
  <c r="P656" i="9"/>
  <c r="L526" i="9"/>
  <c r="O526" i="9" s="1"/>
  <c r="K675" i="9"/>
  <c r="L470" i="9"/>
  <c r="O470" i="9" s="1"/>
  <c r="L477" i="9"/>
  <c r="O477" i="9" s="1"/>
  <c r="K669" i="9"/>
  <c r="L687" i="9"/>
  <c r="O687" i="9" s="1"/>
  <c r="O58" i="8"/>
  <c r="N69" i="8"/>
  <c r="M90" i="8"/>
  <c r="N152" i="8"/>
  <c r="O152" i="8" s="1"/>
  <c r="O394" i="8"/>
  <c r="O641" i="8"/>
  <c r="M155" i="8"/>
  <c r="P155" i="8" s="1"/>
  <c r="P186" i="8"/>
  <c r="L469" i="8"/>
  <c r="L467" i="8" s="1"/>
  <c r="M472" i="8"/>
  <c r="M469" i="8" s="1"/>
  <c r="M135" i="8"/>
  <c r="P135" i="8" s="1"/>
  <c r="J143" i="8"/>
  <c r="J131" i="8" s="1"/>
  <c r="O472" i="8"/>
  <c r="O351" i="8"/>
  <c r="K649" i="7"/>
  <c r="P71" i="8"/>
  <c r="L121" i="8"/>
  <c r="O121" i="8" s="1"/>
  <c r="K359" i="8"/>
  <c r="K823" i="8"/>
  <c r="K826" i="8"/>
  <c r="O557" i="7"/>
  <c r="L555" i="7"/>
  <c r="O555" i="7" s="1"/>
  <c r="N171" i="8"/>
  <c r="N167" i="8"/>
  <c r="N165" i="8" s="1"/>
  <c r="N391" i="8"/>
  <c r="N389" i="8" s="1"/>
  <c r="N184" i="6"/>
  <c r="P184" i="6" s="1"/>
  <c r="N183" i="6"/>
  <c r="N181" i="6" s="1"/>
  <c r="M690" i="8"/>
  <c r="P690" i="8" s="1"/>
  <c r="L687" i="8"/>
  <c r="O687" i="8" s="1"/>
  <c r="M69" i="8"/>
  <c r="O791" i="8"/>
  <c r="L788" i="8"/>
  <c r="O788" i="8" s="1"/>
  <c r="L789" i="8"/>
  <c r="O789" i="8" s="1"/>
  <c r="P46" i="8"/>
  <c r="M44" i="8"/>
  <c r="P44" i="8" s="1"/>
  <c r="O285" i="8"/>
  <c r="L283" i="8"/>
  <c r="O283" i="8" s="1"/>
  <c r="M121" i="8"/>
  <c r="M122" i="8"/>
  <c r="P122" i="8" s="1"/>
  <c r="N151" i="8"/>
  <c r="N149" i="8" s="1"/>
  <c r="N155" i="8"/>
  <c r="M267" i="8"/>
  <c r="P267" i="8" s="1"/>
  <c r="N300" i="8"/>
  <c r="N298" i="8" s="1"/>
  <c r="N304" i="8"/>
  <c r="N279" i="8"/>
  <c r="N280" i="8"/>
  <c r="P280" i="8" s="1"/>
  <c r="M55" i="6"/>
  <c r="M53" i="6" s="1"/>
  <c r="K647" i="8"/>
  <c r="O690" i="8"/>
  <c r="K98" i="7"/>
  <c r="L231" i="7"/>
  <c r="K255" i="7"/>
  <c r="P266" i="7"/>
  <c r="O124" i="8"/>
  <c r="L168" i="8"/>
  <c r="O168" i="8" s="1"/>
  <c r="L209" i="8"/>
  <c r="O209" i="8" s="1"/>
  <c r="L317" i="8"/>
  <c r="O317" i="8" s="1"/>
  <c r="L631" i="8"/>
  <c r="O631" i="8" s="1"/>
  <c r="K725" i="8"/>
  <c r="K594" i="5"/>
  <c r="I233" i="7"/>
  <c r="K233" i="7" s="1"/>
  <c r="L72" i="8"/>
  <c r="O72" i="8" s="1"/>
  <c r="M91" i="8"/>
  <c r="P91" i="8" s="1"/>
  <c r="M125" i="8"/>
  <c r="P125" i="8" s="1"/>
  <c r="K146" i="8"/>
  <c r="O266" i="8"/>
  <c r="M300" i="8"/>
  <c r="M298" i="8" s="1"/>
  <c r="P298" i="8" s="1"/>
  <c r="M348" i="8"/>
  <c r="K594" i="8"/>
  <c r="L121" i="7"/>
  <c r="O121" i="7" s="1"/>
  <c r="P264" i="8"/>
  <c r="M279" i="8"/>
  <c r="M277" i="8" s="1"/>
  <c r="L279" i="8"/>
  <c r="L277" i="8" s="1"/>
  <c r="J327" i="8"/>
  <c r="K327" i="8" s="1"/>
  <c r="J364" i="8"/>
  <c r="O61" i="7"/>
  <c r="L300" i="7"/>
  <c r="L298" i="7" s="1"/>
  <c r="O298" i="7" s="1"/>
  <c r="P58" i="8"/>
  <c r="O331" i="8"/>
  <c r="K338" i="8"/>
  <c r="K370" i="8"/>
  <c r="K821" i="8"/>
  <c r="K824" i="8"/>
  <c r="K827" i="8"/>
  <c r="L546" i="8"/>
  <c r="O546" i="8" s="1"/>
  <c r="P186" i="7"/>
  <c r="K287" i="7"/>
  <c r="K359" i="7"/>
  <c r="K362" i="7"/>
  <c r="L477" i="7"/>
  <c r="O477" i="7" s="1"/>
  <c r="L33" i="8"/>
  <c r="O33" i="8" s="1"/>
  <c r="N125" i="8"/>
  <c r="N135" i="8"/>
  <c r="L138" i="8"/>
  <c r="O138" i="8" s="1"/>
  <c r="M183" i="8"/>
  <c r="L187" i="8"/>
  <c r="O187" i="8" s="1"/>
  <c r="L198" i="8"/>
  <c r="O198" i="8" s="1"/>
  <c r="I208" i="8"/>
  <c r="K208" i="8" s="1"/>
  <c r="I260" i="8"/>
  <c r="K260" i="8" s="1"/>
  <c r="L280" i="8"/>
  <c r="L318" i="8"/>
  <c r="O318" i="8" s="1"/>
  <c r="L321" i="8"/>
  <c r="O321" i="8" s="1"/>
  <c r="K362" i="8"/>
  <c r="K385" i="8"/>
  <c r="M392" i="8"/>
  <c r="P392" i="8" s="1"/>
  <c r="O431" i="8"/>
  <c r="I442" i="8"/>
  <c r="K442" i="8" s="1"/>
  <c r="L477" i="8"/>
  <c r="O477" i="8" s="1"/>
  <c r="M549" i="8"/>
  <c r="M547" i="8" s="1"/>
  <c r="P547" i="8" s="1"/>
  <c r="K577" i="8"/>
  <c r="K673" i="8"/>
  <c r="K723" i="8"/>
  <c r="M55" i="8"/>
  <c r="M53" i="8" s="1"/>
  <c r="M59" i="8"/>
  <c r="P59" i="8" s="1"/>
  <c r="I112" i="8"/>
  <c r="K112" i="8" s="1"/>
  <c r="M138" i="8"/>
  <c r="P138" i="8" s="1"/>
  <c r="K145" i="8"/>
  <c r="L171" i="8"/>
  <c r="O171" i="8" s="1"/>
  <c r="L238" i="8"/>
  <c r="O238" i="8" s="1"/>
  <c r="P266" i="8"/>
  <c r="O282" i="8"/>
  <c r="N330" i="8"/>
  <c r="N328" i="8" s="1"/>
  <c r="L446" i="8"/>
  <c r="L444" i="8" s="1"/>
  <c r="L547" i="8"/>
  <c r="O547" i="8" s="1"/>
  <c r="K674" i="8"/>
  <c r="L688" i="8"/>
  <c r="M121" i="7"/>
  <c r="P121" i="7" s="1"/>
  <c r="O320" i="7"/>
  <c r="O46" i="8"/>
  <c r="O71" i="8"/>
  <c r="O157" i="8"/>
  <c r="I174" i="8"/>
  <c r="K174" i="8" s="1"/>
  <c r="O186" i="8"/>
  <c r="P189" i="8"/>
  <c r="M263" i="8"/>
  <c r="P282" i="8"/>
  <c r="I297" i="8"/>
  <c r="K297" i="8" s="1"/>
  <c r="K340" i="8"/>
  <c r="K374" i="8"/>
  <c r="K381" i="8"/>
  <c r="N404" i="8"/>
  <c r="N402" i="8" s="1"/>
  <c r="I443" i="8"/>
  <c r="K443" i="8" s="1"/>
  <c r="L555" i="8"/>
  <c r="O555" i="8" s="1"/>
  <c r="M634" i="8"/>
  <c r="P634" i="8" s="1"/>
  <c r="M90" i="6"/>
  <c r="M88" i="6" s="1"/>
  <c r="M43" i="8"/>
  <c r="M41" i="8" s="1"/>
  <c r="L134" i="8"/>
  <c r="O134" i="8" s="1"/>
  <c r="P154" i="8"/>
  <c r="L391" i="8"/>
  <c r="O391" i="8" s="1"/>
  <c r="K822" i="5"/>
  <c r="K825" i="5"/>
  <c r="K828" i="5"/>
  <c r="P58" i="7"/>
  <c r="L249" i="7"/>
  <c r="O249" i="7" s="1"/>
  <c r="M23" i="8"/>
  <c r="N26" i="8"/>
  <c r="N16" i="8" s="1"/>
  <c r="L167" i="8"/>
  <c r="L165" i="8" s="1"/>
  <c r="N301" i="8"/>
  <c r="O301" i="8" s="1"/>
  <c r="K372" i="8"/>
  <c r="M391" i="8"/>
  <c r="O634" i="8"/>
  <c r="J722" i="8"/>
  <c r="K722" i="8" s="1"/>
  <c r="P410" i="6"/>
  <c r="M408" i="6"/>
  <c r="P408" i="6" s="1"/>
  <c r="P323" i="7"/>
  <c r="M317" i="7"/>
  <c r="P317" i="7" s="1"/>
  <c r="M321" i="7"/>
  <c r="P321" i="7" s="1"/>
  <c r="O634" i="6"/>
  <c r="M634" i="6"/>
  <c r="M631" i="6" s="1"/>
  <c r="M629" i="6" s="1"/>
  <c r="P629" i="6" s="1"/>
  <c r="O157" i="7"/>
  <c r="L155" i="7"/>
  <c r="O155" i="7" s="1"/>
  <c r="L264" i="7"/>
  <c r="L263" i="7"/>
  <c r="L261" i="7" s="1"/>
  <c r="O71" i="7"/>
  <c r="L69" i="7"/>
  <c r="O69" i="7" s="1"/>
  <c r="K385" i="6"/>
  <c r="L152" i="7"/>
  <c r="L151" i="7"/>
  <c r="L149" i="7" s="1"/>
  <c r="K628" i="7"/>
  <c r="J721" i="7"/>
  <c r="P306" i="7"/>
  <c r="M304" i="7"/>
  <c r="P304" i="7" s="1"/>
  <c r="M391" i="5"/>
  <c r="P391" i="5" s="1"/>
  <c r="K145" i="7"/>
  <c r="I143" i="7"/>
  <c r="K143" i="7" s="1"/>
  <c r="P189" i="7"/>
  <c r="M187" i="7"/>
  <c r="P187" i="7" s="1"/>
  <c r="M472" i="7"/>
  <c r="M469" i="7" s="1"/>
  <c r="L469" i="7"/>
  <c r="L467" i="7" s="1"/>
  <c r="O467" i="7" s="1"/>
  <c r="P29" i="8"/>
  <c r="N391" i="5"/>
  <c r="N389" i="5" s="1"/>
  <c r="N392" i="5"/>
  <c r="P173" i="7"/>
  <c r="M171" i="7"/>
  <c r="P171" i="7" s="1"/>
  <c r="K379" i="7"/>
  <c r="K821" i="7"/>
  <c r="K824" i="7"/>
  <c r="K827" i="7"/>
  <c r="L69" i="8"/>
  <c r="L91" i="8"/>
  <c r="O91" i="8" s="1"/>
  <c r="M405" i="8"/>
  <c r="P405" i="8" s="1"/>
  <c r="P407" i="8"/>
  <c r="N12" i="8"/>
  <c r="M15" i="8"/>
  <c r="O22" i="8"/>
  <c r="L19" i="8"/>
  <c r="N23" i="8"/>
  <c r="N21" i="8" s="1"/>
  <c r="L26" i="8"/>
  <c r="N31" i="8"/>
  <c r="M56" i="8"/>
  <c r="L68" i="8"/>
  <c r="P124" i="8"/>
  <c r="L125" i="8"/>
  <c r="O125" i="8" s="1"/>
  <c r="O127" i="8"/>
  <c r="I131" i="8"/>
  <c r="K131" i="8" s="1"/>
  <c r="M134" i="8"/>
  <c r="L151" i="8"/>
  <c r="I190" i="8"/>
  <c r="K190" i="8" s="1"/>
  <c r="L217" i="8"/>
  <c r="O217" i="8" s="1"/>
  <c r="L229" i="8"/>
  <c r="O269" i="8"/>
  <c r="P285" i="8"/>
  <c r="L300" i="8"/>
  <c r="N318" i="8"/>
  <c r="L334" i="8"/>
  <c r="O334" i="8" s="1"/>
  <c r="L330" i="8"/>
  <c r="L348" i="8"/>
  <c r="L347" i="8"/>
  <c r="P397" i="8"/>
  <c r="M395" i="8"/>
  <c r="P395" i="8" s="1"/>
  <c r="O403" i="8"/>
  <c r="L421" i="8"/>
  <c r="O421" i="8" s="1"/>
  <c r="O424" i="8"/>
  <c r="K435" i="8"/>
  <c r="J433" i="8"/>
  <c r="J417" i="8" s="1"/>
  <c r="O447" i="8"/>
  <c r="P738" i="8"/>
  <c r="M737" i="8"/>
  <c r="P737" i="8" s="1"/>
  <c r="K204" i="8"/>
  <c r="I197" i="8"/>
  <c r="K197" i="8" s="1"/>
  <c r="M321" i="8"/>
  <c r="P321" i="8" s="1"/>
  <c r="P323" i="8"/>
  <c r="N134" i="6"/>
  <c r="N132" i="6" s="1"/>
  <c r="N347" i="6"/>
  <c r="N345" i="6" s="1"/>
  <c r="N68" i="7"/>
  <c r="N66" i="7" s="1"/>
  <c r="M122" i="7"/>
  <c r="P122" i="7" s="1"/>
  <c r="M134" i="7"/>
  <c r="P134" i="7" s="1"/>
  <c r="O154" i="7"/>
  <c r="O266" i="7"/>
  <c r="N15" i="8"/>
  <c r="M34" i="8"/>
  <c r="P34" i="8" s="1"/>
  <c r="P35" i="8"/>
  <c r="M26" i="8"/>
  <c r="M24" i="8" s="1"/>
  <c r="L55" i="8"/>
  <c r="N56" i="8"/>
  <c r="O56" i="8" s="1"/>
  <c r="M68" i="8"/>
  <c r="L90" i="8"/>
  <c r="K98" i="8"/>
  <c r="M151" i="8"/>
  <c r="P173" i="8"/>
  <c r="M134" i="6"/>
  <c r="L55" i="7"/>
  <c r="L53" i="7" s="1"/>
  <c r="M264" i="7"/>
  <c r="K355" i="7"/>
  <c r="L391" i="7"/>
  <c r="O391" i="7" s="1"/>
  <c r="M9" i="8"/>
  <c r="L36" i="8"/>
  <c r="O61" i="8"/>
  <c r="P74" i="8"/>
  <c r="K255" i="8"/>
  <c r="I248" i="8"/>
  <c r="K248" i="8" s="1"/>
  <c r="O262" i="8"/>
  <c r="I275" i="8"/>
  <c r="O306" i="8"/>
  <c r="N348" i="8"/>
  <c r="N347" i="8"/>
  <c r="P182" i="8"/>
  <c r="L264" i="8"/>
  <c r="O264" i="8" s="1"/>
  <c r="L263" i="8"/>
  <c r="P46" i="7"/>
  <c r="M55" i="7"/>
  <c r="M53" i="7" s="1"/>
  <c r="M125" i="7"/>
  <c r="P125" i="7" s="1"/>
  <c r="L134" i="7"/>
  <c r="O134" i="7" s="1"/>
  <c r="L267" i="7"/>
  <c r="O267" i="7" s="1"/>
  <c r="P333" i="7"/>
  <c r="K370" i="7"/>
  <c r="N55" i="8"/>
  <c r="I76" i="8"/>
  <c r="I87" i="8"/>
  <c r="K87" i="8" s="1"/>
  <c r="L94" i="8"/>
  <c r="O94" i="8" s="1"/>
  <c r="K116" i="8"/>
  <c r="M168" i="8"/>
  <c r="P168" i="8" s="1"/>
  <c r="P170" i="8"/>
  <c r="K244" i="8"/>
  <c r="I237" i="8"/>
  <c r="I233" i="8"/>
  <c r="K233" i="8" s="1"/>
  <c r="J288" i="8"/>
  <c r="J275" i="8" s="1"/>
  <c r="M301" i="8"/>
  <c r="M317" i="8"/>
  <c r="P317" i="8" s="1"/>
  <c r="O350" i="8"/>
  <c r="P353" i="8"/>
  <c r="M351" i="8"/>
  <c r="P351" i="8" s="1"/>
  <c r="M404" i="8"/>
  <c r="P404" i="8" s="1"/>
  <c r="O420" i="8"/>
  <c r="I417" i="8"/>
  <c r="P445" i="8"/>
  <c r="L12" i="8"/>
  <c r="L23" i="8"/>
  <c r="P49" i="8"/>
  <c r="O67" i="8"/>
  <c r="K79" i="8"/>
  <c r="I77" i="8"/>
  <c r="P89" i="8"/>
  <c r="M94" i="8"/>
  <c r="P94" i="8" s="1"/>
  <c r="L135" i="8"/>
  <c r="O135" i="8" s="1"/>
  <c r="M152" i="8"/>
  <c r="L228" i="8"/>
  <c r="L249" i="8"/>
  <c r="O249" i="8" s="1"/>
  <c r="M318" i="8"/>
  <c r="P318" i="8" s="1"/>
  <c r="P320" i="8"/>
  <c r="M330" i="8"/>
  <c r="M424" i="8"/>
  <c r="I434" i="8"/>
  <c r="N447" i="8"/>
  <c r="N446" i="8"/>
  <c r="P468" i="8"/>
  <c r="J669" i="8"/>
  <c r="K675" i="8"/>
  <c r="P333" i="8"/>
  <c r="M331" i="8"/>
  <c r="P331" i="8" s="1"/>
  <c r="K369" i="8"/>
  <c r="N467" i="8"/>
  <c r="I364" i="8"/>
  <c r="K365" i="8"/>
  <c r="N444" i="8"/>
  <c r="J537" i="8"/>
  <c r="J522" i="8" s="1"/>
  <c r="K538" i="8"/>
  <c r="K651" i="8"/>
  <c r="I628" i="8"/>
  <c r="K628" i="8" s="1"/>
  <c r="P686" i="8"/>
  <c r="K559" i="8"/>
  <c r="I543" i="8"/>
  <c r="K543" i="8" s="1"/>
  <c r="L658" i="8"/>
  <c r="O658" i="8" s="1"/>
  <c r="O660" i="8"/>
  <c r="M660" i="8"/>
  <c r="P755" i="8"/>
  <c r="M754" i="8"/>
  <c r="P754" i="8" s="1"/>
  <c r="I785" i="8"/>
  <c r="K785" i="8" s="1"/>
  <c r="K800" i="8"/>
  <c r="O806" i="8"/>
  <c r="L805" i="8"/>
  <c r="O805" i="8" s="1"/>
  <c r="O545" i="8"/>
  <c r="L655" i="8"/>
  <c r="O655" i="8" s="1"/>
  <c r="N754" i="8"/>
  <c r="O333" i="8"/>
  <c r="P350" i="8"/>
  <c r="O353" i="8"/>
  <c r="O390" i="8"/>
  <c r="O397" i="8"/>
  <c r="M449" i="8"/>
  <c r="O449" i="8"/>
  <c r="L533" i="8"/>
  <c r="O533" i="8" s="1"/>
  <c r="O535" i="8"/>
  <c r="L525" i="8"/>
  <c r="K560" i="8"/>
  <c r="J593" i="8"/>
  <c r="P771" i="8"/>
  <c r="M770" i="8"/>
  <c r="P770" i="8" s="1"/>
  <c r="O787" i="8"/>
  <c r="O503" i="8"/>
  <c r="M545" i="8"/>
  <c r="K576" i="8"/>
  <c r="O630" i="8"/>
  <c r="N470" i="8"/>
  <c r="O470" i="8" s="1"/>
  <c r="N688" i="8"/>
  <c r="M69" i="7"/>
  <c r="P69" i="7" s="1"/>
  <c r="N279" i="5"/>
  <c r="N277" i="5" s="1"/>
  <c r="N347" i="5"/>
  <c r="N345" i="5" s="1"/>
  <c r="N55" i="6"/>
  <c r="N53" i="6" s="1"/>
  <c r="L263" i="6"/>
  <c r="L261" i="6" s="1"/>
  <c r="N135" i="7"/>
  <c r="M300" i="7"/>
  <c r="P300" i="7" s="1"/>
  <c r="N347" i="7"/>
  <c r="N345" i="7" s="1"/>
  <c r="P351" i="7"/>
  <c r="K378" i="7"/>
  <c r="M449" i="7"/>
  <c r="M446" i="7" s="1"/>
  <c r="P446" i="7" s="1"/>
  <c r="I314" i="5"/>
  <c r="K314" i="5" s="1"/>
  <c r="K193" i="6"/>
  <c r="J722" i="6"/>
  <c r="N23" i="7"/>
  <c r="N21" i="7" s="1"/>
  <c r="L72" i="7"/>
  <c r="O72" i="7" s="1"/>
  <c r="N121" i="7"/>
  <c r="N119" i="7" s="1"/>
  <c r="P157" i="7"/>
  <c r="L183" i="7"/>
  <c r="L181" i="7" s="1"/>
  <c r="L238" i="7"/>
  <c r="O238" i="7" s="1"/>
  <c r="M283" i="7"/>
  <c r="P283" i="7" s="1"/>
  <c r="M301" i="7"/>
  <c r="P301" i="7" s="1"/>
  <c r="O303" i="7"/>
  <c r="K325" i="7"/>
  <c r="L334" i="7"/>
  <c r="O334" i="7" s="1"/>
  <c r="L447" i="7"/>
  <c r="O447" i="7" s="1"/>
  <c r="L687" i="7"/>
  <c r="O687" i="7" s="1"/>
  <c r="O690" i="7"/>
  <c r="M405" i="5"/>
  <c r="P405" i="5" s="1"/>
  <c r="M94" i="6"/>
  <c r="P94" i="6" s="1"/>
  <c r="K159" i="6"/>
  <c r="M56" i="7"/>
  <c r="P56" i="7" s="1"/>
  <c r="L59" i="7"/>
  <c r="O59" i="7" s="1"/>
  <c r="L304" i="7"/>
  <c r="O304" i="7" s="1"/>
  <c r="O394" i="7"/>
  <c r="L546" i="7"/>
  <c r="L544" i="7" s="1"/>
  <c r="K568" i="7"/>
  <c r="K651" i="7"/>
  <c r="O140" i="6"/>
  <c r="L632" i="6"/>
  <c r="O632" i="6" s="1"/>
  <c r="P61" i="7"/>
  <c r="L68" i="7"/>
  <c r="O68" i="7" s="1"/>
  <c r="O124" i="7"/>
  <c r="O189" i="7"/>
  <c r="O397" i="7"/>
  <c r="L547" i="7"/>
  <c r="P353" i="5"/>
  <c r="O184" i="7"/>
  <c r="L279" i="7"/>
  <c r="L277" i="7" s="1"/>
  <c r="L330" i="7"/>
  <c r="P353" i="7"/>
  <c r="K369" i="7"/>
  <c r="K372" i="7"/>
  <c r="K647" i="7"/>
  <c r="O56" i="7"/>
  <c r="K215" i="6"/>
  <c r="O58" i="7"/>
  <c r="K204" i="7"/>
  <c r="N301" i="7"/>
  <c r="N300" i="7"/>
  <c r="N298" i="7" s="1"/>
  <c r="P350" i="7"/>
  <c r="M347" i="7"/>
  <c r="M348" i="7"/>
  <c r="P348" i="7" s="1"/>
  <c r="J722" i="7"/>
  <c r="M392" i="5"/>
  <c r="P392" i="5" s="1"/>
  <c r="M56" i="6"/>
  <c r="L68" i="6"/>
  <c r="L66" i="6" s="1"/>
  <c r="O66" i="6" s="1"/>
  <c r="N135" i="6"/>
  <c r="O135" i="6" s="1"/>
  <c r="I276" i="6"/>
  <c r="K276" i="6" s="1"/>
  <c r="N317" i="6"/>
  <c r="N315" i="6" s="1"/>
  <c r="L334" i="6"/>
  <c r="O334" i="6" s="1"/>
  <c r="K338" i="6"/>
  <c r="L392" i="6"/>
  <c r="O392" i="6" s="1"/>
  <c r="K435" i="6"/>
  <c r="N44" i="7"/>
  <c r="I77" i="7"/>
  <c r="I65" i="7" s="1"/>
  <c r="K65" i="7" s="1"/>
  <c r="L125" i="7"/>
  <c r="O125" i="7" s="1"/>
  <c r="L135" i="7"/>
  <c r="O135" i="7" s="1"/>
  <c r="M152" i="7"/>
  <c r="P154" i="7"/>
  <c r="M167" i="7"/>
  <c r="M165" i="7" s="1"/>
  <c r="O168" i="7"/>
  <c r="M183" i="7"/>
  <c r="M181" i="7" s="1"/>
  <c r="I190" i="7"/>
  <c r="K190" i="7" s="1"/>
  <c r="L198" i="7"/>
  <c r="O198" i="7" s="1"/>
  <c r="K215" i="7"/>
  <c r="L217" i="7"/>
  <c r="O217" i="7" s="1"/>
  <c r="K224" i="7"/>
  <c r="N267" i="7"/>
  <c r="N263" i="7"/>
  <c r="K381" i="7"/>
  <c r="L300" i="6"/>
  <c r="N55" i="7"/>
  <c r="M68" i="7"/>
  <c r="P68" i="7" s="1"/>
  <c r="P91" i="7"/>
  <c r="L167" i="7"/>
  <c r="L165" i="7" s="1"/>
  <c r="P71" i="6"/>
  <c r="I143" i="6"/>
  <c r="I131" i="6" s="1"/>
  <c r="L404" i="6"/>
  <c r="O404" i="6" s="1"/>
  <c r="L408" i="6"/>
  <c r="O408" i="6" s="1"/>
  <c r="I443" i="6"/>
  <c r="K443" i="6" s="1"/>
  <c r="O96" i="7"/>
  <c r="N183" i="7"/>
  <c r="M267" i="7"/>
  <c r="P267" i="7" s="1"/>
  <c r="M43" i="7"/>
  <c r="M41" i="7" s="1"/>
  <c r="O660" i="7"/>
  <c r="L657" i="7"/>
  <c r="O657" i="7" s="1"/>
  <c r="N348" i="6"/>
  <c r="O348" i="6" s="1"/>
  <c r="L526" i="7"/>
  <c r="O526" i="7" s="1"/>
  <c r="L525" i="7"/>
  <c r="O528" i="7"/>
  <c r="L43" i="4"/>
  <c r="L41" i="4" s="1"/>
  <c r="L300" i="5"/>
  <c r="L298" i="5" s="1"/>
  <c r="J143" i="6"/>
  <c r="J131" i="6" s="1"/>
  <c r="L429" i="6"/>
  <c r="O429" i="6" s="1"/>
  <c r="L36" i="7"/>
  <c r="N26" i="7"/>
  <c r="N24" i="7" s="1"/>
  <c r="O91" i="7"/>
  <c r="L122" i="7"/>
  <c r="O122" i="7" s="1"/>
  <c r="L138" i="7"/>
  <c r="O138" i="7" s="1"/>
  <c r="O173" i="7"/>
  <c r="K244" i="7"/>
  <c r="M279" i="7"/>
  <c r="P282" i="7"/>
  <c r="J288" i="7"/>
  <c r="K288" i="7" s="1"/>
  <c r="I275" i="7"/>
  <c r="L321" i="7"/>
  <c r="O321" i="7" s="1"/>
  <c r="O323" i="7"/>
  <c r="L317" i="7"/>
  <c r="K338" i="7"/>
  <c r="J327" i="7"/>
  <c r="K327" i="7" s="1"/>
  <c r="P397" i="7"/>
  <c r="M391" i="7"/>
  <c r="P391" i="7" s="1"/>
  <c r="N404" i="7"/>
  <c r="N402" i="7" s="1"/>
  <c r="M547" i="7"/>
  <c r="P549" i="7"/>
  <c r="M546" i="7"/>
  <c r="M544" i="7" s="1"/>
  <c r="N90" i="7"/>
  <c r="L351" i="7"/>
  <c r="O351" i="7" s="1"/>
  <c r="O353" i="7"/>
  <c r="L347" i="7"/>
  <c r="P61" i="6"/>
  <c r="M44" i="7"/>
  <c r="M72" i="7"/>
  <c r="P72" i="7" s="1"/>
  <c r="L33" i="7"/>
  <c r="O33" i="7" s="1"/>
  <c r="O46" i="7"/>
  <c r="M90" i="7"/>
  <c r="M88" i="7" s="1"/>
  <c r="P93" i="7"/>
  <c r="N151" i="7"/>
  <c r="M184" i="7"/>
  <c r="P184" i="7" s="1"/>
  <c r="K208" i="7"/>
  <c r="I237" i="7"/>
  <c r="K237" i="7" s="1"/>
  <c r="M263" i="7"/>
  <c r="N279" i="7"/>
  <c r="N280" i="7"/>
  <c r="P280" i="7" s="1"/>
  <c r="N318" i="7"/>
  <c r="N317" i="7"/>
  <c r="N315" i="7" s="1"/>
  <c r="K672" i="7"/>
  <c r="K669" i="7"/>
  <c r="K674" i="7"/>
  <c r="L228" i="7"/>
  <c r="K360" i="7"/>
  <c r="K560" i="7"/>
  <c r="I785" i="7"/>
  <c r="L229" i="7"/>
  <c r="I434" i="7"/>
  <c r="K577" i="7"/>
  <c r="K621" i="7"/>
  <c r="L230" i="7"/>
  <c r="N330" i="7"/>
  <c r="N328" i="7" s="1"/>
  <c r="L421" i="7"/>
  <c r="L419" i="7" s="1"/>
  <c r="K438" i="7"/>
  <c r="O535" i="7"/>
  <c r="K801" i="7"/>
  <c r="O282" i="7"/>
  <c r="O348" i="7"/>
  <c r="L422" i="7"/>
  <c r="O422" i="7" s="1"/>
  <c r="O424" i="7"/>
  <c r="K823" i="7"/>
  <c r="K826" i="7"/>
  <c r="K822" i="7"/>
  <c r="K825" i="7"/>
  <c r="K828" i="7"/>
  <c r="N28" i="7"/>
  <c r="N31" i="7"/>
  <c r="N30" i="7"/>
  <c r="P524" i="7"/>
  <c r="M523" i="7"/>
  <c r="P523" i="7" s="1"/>
  <c r="N330" i="5"/>
  <c r="N328" i="5" s="1"/>
  <c r="K144" i="6"/>
  <c r="L657" i="6"/>
  <c r="O657" i="6" s="1"/>
  <c r="M660" i="6"/>
  <c r="M658" i="6" s="1"/>
  <c r="P658" i="6" s="1"/>
  <c r="L26" i="7"/>
  <c r="M34" i="7"/>
  <c r="P34" i="7" s="1"/>
  <c r="K81" i="7"/>
  <c r="K115" i="7"/>
  <c r="M138" i="7"/>
  <c r="P138" i="7" s="1"/>
  <c r="P140" i="7"/>
  <c r="P168" i="7"/>
  <c r="O170" i="7"/>
  <c r="K176" i="7"/>
  <c r="L283" i="7"/>
  <c r="O283" i="7" s="1"/>
  <c r="O329" i="7"/>
  <c r="M331" i="7"/>
  <c r="P331" i="7" s="1"/>
  <c r="P346" i="7"/>
  <c r="P407" i="7"/>
  <c r="M404" i="7"/>
  <c r="P410" i="7"/>
  <c r="M408" i="7"/>
  <c r="P408" i="7" s="1"/>
  <c r="N504" i="7"/>
  <c r="N502" i="7" s="1"/>
  <c r="N505" i="7"/>
  <c r="M29" i="7"/>
  <c r="L408" i="7"/>
  <c r="O408" i="7" s="1"/>
  <c r="O410" i="7"/>
  <c r="L404" i="7"/>
  <c r="O404" i="7" s="1"/>
  <c r="M279" i="5"/>
  <c r="L470" i="5"/>
  <c r="O470" i="5" s="1"/>
  <c r="O472" i="5"/>
  <c r="M121" i="6"/>
  <c r="M119" i="6" s="1"/>
  <c r="O152" i="6"/>
  <c r="P170" i="6"/>
  <c r="L279" i="6"/>
  <c r="L277" i="6" s="1"/>
  <c r="I297" i="6"/>
  <c r="K297" i="6" s="1"/>
  <c r="M392" i="6"/>
  <c r="P392" i="6" s="1"/>
  <c r="M395" i="6"/>
  <c r="P395" i="6" s="1"/>
  <c r="L631" i="6"/>
  <c r="O631" i="6" s="1"/>
  <c r="K647" i="6"/>
  <c r="M791" i="6"/>
  <c r="P791" i="6" s="1"/>
  <c r="L12" i="7"/>
  <c r="L19" i="7"/>
  <c r="M26" i="7"/>
  <c r="N43" i="7"/>
  <c r="N41" i="7" s="1"/>
  <c r="I76" i="7"/>
  <c r="K225" i="7"/>
  <c r="I297" i="7"/>
  <c r="K297" i="7" s="1"/>
  <c r="P336" i="7"/>
  <c r="M334" i="7"/>
  <c r="P334" i="7" s="1"/>
  <c r="M405" i="7"/>
  <c r="P405" i="7" s="1"/>
  <c r="O787" i="7"/>
  <c r="L786" i="7"/>
  <c r="O786" i="7" s="1"/>
  <c r="N789" i="7"/>
  <c r="N300" i="2"/>
  <c r="N298" i="2" s="1"/>
  <c r="N391" i="2"/>
  <c r="N389" i="2" s="1"/>
  <c r="L122" i="4"/>
  <c r="O122" i="4" s="1"/>
  <c r="M69" i="5"/>
  <c r="M72" i="5"/>
  <c r="P72" i="5" s="1"/>
  <c r="P320" i="5"/>
  <c r="I77" i="6"/>
  <c r="I65" i="6" s="1"/>
  <c r="K65" i="6" s="1"/>
  <c r="O353" i="6"/>
  <c r="K374" i="6"/>
  <c r="L788" i="6"/>
  <c r="L786" i="6" s="1"/>
  <c r="O786" i="6" s="1"/>
  <c r="O791" i="6"/>
  <c r="K821" i="6"/>
  <c r="K824" i="6"/>
  <c r="K827" i="6"/>
  <c r="M12" i="7"/>
  <c r="M19" i="7"/>
  <c r="L90" i="7"/>
  <c r="O93" i="7"/>
  <c r="I87" i="7"/>
  <c r="K87" i="7" s="1"/>
  <c r="K99" i="7"/>
  <c r="N167" i="7"/>
  <c r="O186" i="7"/>
  <c r="K197" i="7"/>
  <c r="I364" i="7"/>
  <c r="K365" i="7"/>
  <c r="O403" i="7"/>
  <c r="N655" i="7"/>
  <c r="O755" i="7"/>
  <c r="L754" i="7"/>
  <c r="O754" i="7" s="1"/>
  <c r="P353" i="6"/>
  <c r="K359" i="6"/>
  <c r="K362" i="6"/>
  <c r="K700" i="6"/>
  <c r="N12" i="7"/>
  <c r="L23" i="7"/>
  <c r="I148" i="7"/>
  <c r="K148" i="7" s="1"/>
  <c r="I260" i="7"/>
  <c r="K260" i="7" s="1"/>
  <c r="P420" i="7"/>
  <c r="K540" i="7"/>
  <c r="J537" i="7"/>
  <c r="J522" i="7" s="1"/>
  <c r="P687" i="7"/>
  <c r="M685" i="7"/>
  <c r="P685" i="7" s="1"/>
  <c r="P755" i="7"/>
  <c r="M754" i="7"/>
  <c r="P754" i="7" s="1"/>
  <c r="L43" i="7"/>
  <c r="P133" i="7"/>
  <c r="K174" i="7"/>
  <c r="I164" i="7"/>
  <c r="K164" i="7" s="1"/>
  <c r="M330" i="7"/>
  <c r="K701" i="3"/>
  <c r="P137" i="5"/>
  <c r="L187" i="5"/>
  <c r="O187" i="5" s="1"/>
  <c r="M300" i="5"/>
  <c r="M298" i="5" s="1"/>
  <c r="L151" i="6"/>
  <c r="L149" i="6" s="1"/>
  <c r="N330" i="6"/>
  <c r="N328" i="6" s="1"/>
  <c r="J327" i="6"/>
  <c r="K327" i="6" s="1"/>
  <c r="M23" i="7"/>
  <c r="L44" i="7"/>
  <c r="M135" i="7"/>
  <c r="P135" i="7" s="1"/>
  <c r="P137" i="7"/>
  <c r="J143" i="7"/>
  <c r="J131" i="7" s="1"/>
  <c r="K144" i="7"/>
  <c r="P170" i="7"/>
  <c r="L331" i="7"/>
  <c r="O331" i="7" s="1"/>
  <c r="O333" i="7"/>
  <c r="N392" i="7"/>
  <c r="N391" i="7"/>
  <c r="N389" i="7" s="1"/>
  <c r="N419" i="7"/>
  <c r="N470" i="7"/>
  <c r="O472" i="7"/>
  <c r="I522" i="7"/>
  <c r="K522" i="7" s="1"/>
  <c r="K537" i="7"/>
  <c r="J559" i="7"/>
  <c r="K576" i="7"/>
  <c r="N631" i="7"/>
  <c r="N632" i="7"/>
  <c r="O632" i="7" s="1"/>
  <c r="O634" i="7"/>
  <c r="O686" i="7"/>
  <c r="J364" i="7"/>
  <c r="K435" i="7"/>
  <c r="J433" i="7"/>
  <c r="J417" i="7" s="1"/>
  <c r="K417" i="7" s="1"/>
  <c r="N523" i="7"/>
  <c r="P806" i="7"/>
  <c r="M805" i="7"/>
  <c r="P805" i="7" s="1"/>
  <c r="N152" i="7"/>
  <c r="N264" i="7"/>
  <c r="O350" i="7"/>
  <c r="K385" i="7"/>
  <c r="N421" i="7"/>
  <c r="L454" i="7"/>
  <c r="O454" i="7" s="1"/>
  <c r="L446" i="7"/>
  <c r="K462" i="7"/>
  <c r="N467" i="7"/>
  <c r="O503" i="7"/>
  <c r="L502" i="7"/>
  <c r="O502" i="7" s="1"/>
  <c r="K594" i="7"/>
  <c r="M421" i="7"/>
  <c r="P421" i="7" s="1"/>
  <c r="M422" i="7"/>
  <c r="P422" i="7" s="1"/>
  <c r="P424" i="7"/>
  <c r="P445" i="7"/>
  <c r="J593" i="7"/>
  <c r="P738" i="7"/>
  <c r="M737" i="7"/>
  <c r="P737" i="7" s="1"/>
  <c r="P771" i="7"/>
  <c r="M770" i="7"/>
  <c r="P770" i="7" s="1"/>
  <c r="O788" i="7"/>
  <c r="L789" i="7"/>
  <c r="O789" i="7" s="1"/>
  <c r="O791" i="7"/>
  <c r="K340" i="7"/>
  <c r="K374" i="7"/>
  <c r="L405" i="7"/>
  <c r="O405" i="7" s="1"/>
  <c r="O407" i="7"/>
  <c r="O549" i="7"/>
  <c r="N546" i="7"/>
  <c r="N547" i="7"/>
  <c r="J594" i="7"/>
  <c r="L639" i="7"/>
  <c r="O639" i="7" s="1"/>
  <c r="L631" i="7"/>
  <c r="M791" i="7"/>
  <c r="I654" i="7"/>
  <c r="K654" i="7" s="1"/>
  <c r="L470" i="7"/>
  <c r="M502" i="7"/>
  <c r="P502" i="7" s="1"/>
  <c r="K675" i="7"/>
  <c r="M68" i="4"/>
  <c r="M66" i="4" s="1"/>
  <c r="P66" i="4" s="1"/>
  <c r="M395" i="4"/>
  <c r="P395" i="4" s="1"/>
  <c r="M55" i="5"/>
  <c r="M53" i="5" s="1"/>
  <c r="L263" i="5"/>
  <c r="L261" i="5" s="1"/>
  <c r="N317" i="5"/>
  <c r="N315" i="5" s="1"/>
  <c r="J721" i="5"/>
  <c r="L72" i="6"/>
  <c r="O72" i="6" s="1"/>
  <c r="M151" i="6"/>
  <c r="M149" i="6" s="1"/>
  <c r="K255" i="6"/>
  <c r="M300" i="6"/>
  <c r="M298" i="6" s="1"/>
  <c r="M334" i="6"/>
  <c r="P334" i="6" s="1"/>
  <c r="L347" i="6"/>
  <c r="L345" i="6" s="1"/>
  <c r="K372" i="6"/>
  <c r="M449" i="6"/>
  <c r="M447" i="6" s="1"/>
  <c r="P447" i="6" s="1"/>
  <c r="L546" i="6"/>
  <c r="O546" i="6" s="1"/>
  <c r="K673" i="6"/>
  <c r="M187" i="5"/>
  <c r="P187" i="5" s="1"/>
  <c r="L279" i="5"/>
  <c r="L277" i="5" s="1"/>
  <c r="M301" i="5"/>
  <c r="M304" i="5"/>
  <c r="P304" i="5" s="1"/>
  <c r="L392" i="5"/>
  <c r="O392" i="5" s="1"/>
  <c r="M155" i="6"/>
  <c r="P155" i="6" s="1"/>
  <c r="N300" i="6"/>
  <c r="N298" i="6" s="1"/>
  <c r="J364" i="6"/>
  <c r="M405" i="6"/>
  <c r="P405" i="6" s="1"/>
  <c r="L447" i="6"/>
  <c r="O447" i="6" s="1"/>
  <c r="J537" i="6"/>
  <c r="J522" i="6" s="1"/>
  <c r="O549" i="6"/>
  <c r="K823" i="6"/>
  <c r="K826" i="6"/>
  <c r="L43" i="6"/>
  <c r="L41" i="6" s="1"/>
  <c r="M167" i="6"/>
  <c r="M165" i="6" s="1"/>
  <c r="K271" i="6"/>
  <c r="O351" i="6"/>
  <c r="L547" i="6"/>
  <c r="O547" i="6" s="1"/>
  <c r="K628" i="6"/>
  <c r="J785" i="6"/>
  <c r="L183" i="4"/>
  <c r="L181" i="4" s="1"/>
  <c r="O93" i="6"/>
  <c r="L217" i="6"/>
  <c r="O217" i="6" s="1"/>
  <c r="L238" i="6"/>
  <c r="O238" i="6" s="1"/>
  <c r="M351" i="6"/>
  <c r="P351" i="6" s="1"/>
  <c r="O266" i="4"/>
  <c r="K462" i="5"/>
  <c r="N56" i="6"/>
  <c r="O56" i="6" s="1"/>
  <c r="P93" i="6"/>
  <c r="K369" i="6"/>
  <c r="O535" i="6"/>
  <c r="K649" i="6"/>
  <c r="M318" i="6"/>
  <c r="P318" i="6" s="1"/>
  <c r="P320" i="6"/>
  <c r="M317" i="6"/>
  <c r="M315" i="6" s="1"/>
  <c r="O331" i="6"/>
  <c r="N392" i="6"/>
  <c r="N391" i="6"/>
  <c r="N389" i="6" s="1"/>
  <c r="O424" i="6"/>
  <c r="L422" i="6"/>
  <c r="O422" i="6" s="1"/>
  <c r="P549" i="6"/>
  <c r="M546" i="6"/>
  <c r="M690" i="6"/>
  <c r="M688" i="6" s="1"/>
  <c r="L687" i="6"/>
  <c r="L685" i="6" s="1"/>
  <c r="O685" i="6" s="1"/>
  <c r="L330" i="5"/>
  <c r="L328" i="5" s="1"/>
  <c r="M43" i="6"/>
  <c r="M41" i="6" s="1"/>
  <c r="P58" i="6"/>
  <c r="N68" i="6"/>
  <c r="N66" i="6" s="1"/>
  <c r="M472" i="6"/>
  <c r="M469" i="6" s="1"/>
  <c r="K801" i="6"/>
  <c r="K825" i="3"/>
  <c r="I87" i="4"/>
  <c r="K87" i="4" s="1"/>
  <c r="K379" i="5"/>
  <c r="P394" i="5"/>
  <c r="L47" i="6"/>
  <c r="O47" i="6" s="1"/>
  <c r="I76" i="6"/>
  <c r="K79" i="6"/>
  <c r="L91" i="6"/>
  <c r="O91" i="6" s="1"/>
  <c r="M122" i="6"/>
  <c r="P122" i="6" s="1"/>
  <c r="P137" i="6"/>
  <c r="M168" i="6"/>
  <c r="P168" i="6" s="1"/>
  <c r="N167" i="6"/>
  <c r="N165" i="6" s="1"/>
  <c r="M187" i="6"/>
  <c r="P187" i="6" s="1"/>
  <c r="L229" i="6"/>
  <c r="P269" i="6"/>
  <c r="M267" i="6"/>
  <c r="P267" i="6" s="1"/>
  <c r="O282" i="6"/>
  <c r="N280" i="6"/>
  <c r="O280" i="6" s="1"/>
  <c r="N279" i="6"/>
  <c r="N277" i="6" s="1"/>
  <c r="P323" i="6"/>
  <c r="K355" i="6"/>
  <c r="M404" i="6"/>
  <c r="L454" i="6"/>
  <c r="O454" i="6" s="1"/>
  <c r="L470" i="6"/>
  <c r="O470" i="6" s="1"/>
  <c r="O528" i="6"/>
  <c r="M528" i="6"/>
  <c r="M526" i="6" s="1"/>
  <c r="P526" i="6" s="1"/>
  <c r="L525" i="6"/>
  <c r="I559" i="6"/>
  <c r="I543" i="6" s="1"/>
  <c r="K543" i="6" s="1"/>
  <c r="K576" i="6"/>
  <c r="L151" i="4"/>
  <c r="O151" i="4" s="1"/>
  <c r="O154" i="4"/>
  <c r="L408" i="4"/>
  <c r="O408" i="4" s="1"/>
  <c r="M94" i="5"/>
  <c r="P94" i="5" s="1"/>
  <c r="M155" i="5"/>
  <c r="P155" i="5" s="1"/>
  <c r="L283" i="5"/>
  <c r="O283" i="5" s="1"/>
  <c r="O353" i="5"/>
  <c r="L33" i="6"/>
  <c r="L31" i="6" s="1"/>
  <c r="O31" i="6" s="1"/>
  <c r="L69" i="6"/>
  <c r="O69" i="6" s="1"/>
  <c r="I86" i="6"/>
  <c r="K86" i="6" s="1"/>
  <c r="M91" i="6"/>
  <c r="P91" i="6" s="1"/>
  <c r="L26" i="6"/>
  <c r="P152" i="6"/>
  <c r="K224" i="6"/>
  <c r="I216" i="6"/>
  <c r="K216" i="6" s="1"/>
  <c r="L283" i="6"/>
  <c r="O283" i="6" s="1"/>
  <c r="I314" i="6"/>
  <c r="K314" i="6" s="1"/>
  <c r="K325" i="6"/>
  <c r="P350" i="6"/>
  <c r="M348" i="6"/>
  <c r="L405" i="6"/>
  <c r="O405" i="6" s="1"/>
  <c r="O58" i="6"/>
  <c r="N59" i="6"/>
  <c r="O59" i="6" s="1"/>
  <c r="L94" i="6"/>
  <c r="O94" i="6" s="1"/>
  <c r="L138" i="6"/>
  <c r="O138" i="6" s="1"/>
  <c r="P140" i="6"/>
  <c r="M171" i="6"/>
  <c r="P171" i="6" s="1"/>
  <c r="I233" i="6"/>
  <c r="K233" i="6" s="1"/>
  <c r="M263" i="6"/>
  <c r="M261" i="6" s="1"/>
  <c r="P266" i="6"/>
  <c r="L330" i="6"/>
  <c r="L328" i="6" s="1"/>
  <c r="P333" i="6"/>
  <c r="M331" i="6"/>
  <c r="P331" i="6" s="1"/>
  <c r="L446" i="6"/>
  <c r="O446" i="6" s="1"/>
  <c r="J721" i="6"/>
  <c r="O58" i="4"/>
  <c r="L477" i="5"/>
  <c r="O477" i="5" s="1"/>
  <c r="L36" i="6"/>
  <c r="O36" i="6" s="1"/>
  <c r="P138" i="6"/>
  <c r="L228" i="6"/>
  <c r="N263" i="6"/>
  <c r="M304" i="6"/>
  <c r="P304" i="6" s="1"/>
  <c r="O397" i="6"/>
  <c r="L395" i="6"/>
  <c r="O395" i="6" s="1"/>
  <c r="P303" i="6"/>
  <c r="O320" i="6"/>
  <c r="K379" i="6"/>
  <c r="I434" i="6"/>
  <c r="I418" i="6" s="1"/>
  <c r="K418" i="6" s="1"/>
  <c r="K675" i="6"/>
  <c r="L230" i="6"/>
  <c r="L231" i="6"/>
  <c r="K340" i="6"/>
  <c r="I785" i="6"/>
  <c r="K822" i="6"/>
  <c r="K825" i="6"/>
  <c r="K828" i="6"/>
  <c r="O19" i="6"/>
  <c r="L122" i="6"/>
  <c r="O122" i="6" s="1"/>
  <c r="O124" i="6"/>
  <c r="L121" i="6"/>
  <c r="O168" i="5"/>
  <c r="O15" i="6"/>
  <c r="P166" i="6"/>
  <c r="M183" i="6"/>
  <c r="M23" i="6"/>
  <c r="P186" i="6"/>
  <c r="N15" i="6"/>
  <c r="P36" i="6"/>
  <c r="M34" i="6"/>
  <c r="P34" i="6" s="1"/>
  <c r="K99" i="6"/>
  <c r="O137" i="6"/>
  <c r="L134" i="6"/>
  <c r="M280" i="6"/>
  <c r="P282" i="6"/>
  <c r="M279" i="6"/>
  <c r="P32" i="6"/>
  <c r="M29" i="6"/>
  <c r="M12" i="6"/>
  <c r="L29" i="6"/>
  <c r="O35" i="6"/>
  <c r="O54" i="6"/>
  <c r="M72" i="6"/>
  <c r="P72" i="6" s="1"/>
  <c r="P74" i="6"/>
  <c r="M26" i="6"/>
  <c r="M68" i="6"/>
  <c r="P68" i="6" s="1"/>
  <c r="I112" i="6"/>
  <c r="K112" i="6" s="1"/>
  <c r="K115" i="6"/>
  <c r="O170" i="6"/>
  <c r="L168" i="6"/>
  <c r="O168" i="6" s="1"/>
  <c r="L167" i="6"/>
  <c r="N94" i="6"/>
  <c r="N90" i="6"/>
  <c r="N125" i="6"/>
  <c r="O125" i="6" s="1"/>
  <c r="N121" i="6"/>
  <c r="P127" i="6"/>
  <c r="P397" i="5"/>
  <c r="M395" i="5"/>
  <c r="P395" i="5" s="1"/>
  <c r="O42" i="6"/>
  <c r="N23" i="6"/>
  <c r="N44" i="6"/>
  <c r="O44" i="6" s="1"/>
  <c r="O46" i="6"/>
  <c r="N43" i="6"/>
  <c r="P150" i="6"/>
  <c r="L68" i="3"/>
  <c r="L66" i="3" s="1"/>
  <c r="N167" i="4"/>
  <c r="N165" i="4" s="1"/>
  <c r="L263" i="4"/>
  <c r="L261" i="4" s="1"/>
  <c r="M171" i="5"/>
  <c r="P171" i="5" s="1"/>
  <c r="K340" i="5"/>
  <c r="K378" i="5"/>
  <c r="L12" i="6"/>
  <c r="O25" i="6"/>
  <c r="P49" i="6"/>
  <c r="O61" i="6"/>
  <c r="O96" i="6"/>
  <c r="O127" i="6"/>
  <c r="L198" i="6"/>
  <c r="O198" i="6" s="1"/>
  <c r="L264" i="6"/>
  <c r="O266" i="6"/>
  <c r="L267" i="6"/>
  <c r="O267" i="6" s="1"/>
  <c r="O269" i="6"/>
  <c r="O420" i="6"/>
  <c r="N687" i="6"/>
  <c r="N688" i="6"/>
  <c r="K378" i="4"/>
  <c r="K381" i="4"/>
  <c r="K708" i="4"/>
  <c r="K729" i="4"/>
  <c r="O71" i="5"/>
  <c r="M183" i="5"/>
  <c r="M181" i="5" s="1"/>
  <c r="L217" i="5"/>
  <c r="O217" i="5" s="1"/>
  <c r="K370" i="5"/>
  <c r="L36" i="5"/>
  <c r="O36" i="5" s="1"/>
  <c r="K699" i="5"/>
  <c r="N9" i="6"/>
  <c r="L23" i="6"/>
  <c r="L21" i="6" s="1"/>
  <c r="P46" i="6"/>
  <c r="O157" i="6"/>
  <c r="O189" i="6"/>
  <c r="L187" i="6"/>
  <c r="O187" i="6" s="1"/>
  <c r="L209" i="6"/>
  <c r="O209" i="6" s="1"/>
  <c r="M283" i="6"/>
  <c r="P283" i="6" s="1"/>
  <c r="P285" i="6"/>
  <c r="J288" i="6"/>
  <c r="J275" i="6" s="1"/>
  <c r="I275" i="6"/>
  <c r="P91" i="3"/>
  <c r="P282" i="4"/>
  <c r="L469" i="5"/>
  <c r="L467" i="5" s="1"/>
  <c r="O467" i="5" s="1"/>
  <c r="K130" i="6"/>
  <c r="O173" i="6"/>
  <c r="L171" i="6"/>
  <c r="O171" i="6" s="1"/>
  <c r="K176" i="6"/>
  <c r="I174" i="6"/>
  <c r="L249" i="6"/>
  <c r="O249" i="6" s="1"/>
  <c r="L301" i="6"/>
  <c r="O303" i="6"/>
  <c r="L304" i="6"/>
  <c r="O304" i="6" s="1"/>
  <c r="O306" i="6"/>
  <c r="O468" i="6"/>
  <c r="P524" i="6"/>
  <c r="P807" i="6"/>
  <c r="M805" i="6"/>
  <c r="P805" i="6" s="1"/>
  <c r="K701" i="4"/>
  <c r="L230" i="5"/>
  <c r="K821" i="5"/>
  <c r="K824" i="5"/>
  <c r="K827" i="5"/>
  <c r="N26" i="6"/>
  <c r="N16" i="6" s="1"/>
  <c r="O133" i="6"/>
  <c r="K146" i="6"/>
  <c r="O154" i="6"/>
  <c r="P390" i="6"/>
  <c r="J433" i="6"/>
  <c r="K437" i="6"/>
  <c r="N408" i="6"/>
  <c r="N404" i="6"/>
  <c r="N402" i="6" s="1"/>
  <c r="K338" i="4"/>
  <c r="J143" i="5"/>
  <c r="J131" i="5" s="1"/>
  <c r="P303" i="5"/>
  <c r="P25" i="6"/>
  <c r="M15" i="6"/>
  <c r="L55" i="6"/>
  <c r="K148" i="6"/>
  <c r="N151" i="6"/>
  <c r="P154" i="6"/>
  <c r="P182" i="6"/>
  <c r="O186" i="6"/>
  <c r="L184" i="6"/>
  <c r="K204" i="6"/>
  <c r="I197" i="6"/>
  <c r="K197" i="6" s="1"/>
  <c r="K260" i="6"/>
  <c r="O278" i="6"/>
  <c r="K370" i="6"/>
  <c r="N264" i="6"/>
  <c r="P264" i="6" s="1"/>
  <c r="N301" i="6"/>
  <c r="P301" i="6" s="1"/>
  <c r="P316" i="6"/>
  <c r="L318" i="6"/>
  <c r="O318" i="6" s="1"/>
  <c r="L321" i="6"/>
  <c r="O321" i="6" s="1"/>
  <c r="O333" i="6"/>
  <c r="O350" i="6"/>
  <c r="K378" i="6"/>
  <c r="O630" i="6"/>
  <c r="N685" i="6"/>
  <c r="N414" i="6" s="1"/>
  <c r="N756" i="6"/>
  <c r="N757" i="6"/>
  <c r="O806" i="6"/>
  <c r="L805" i="6"/>
  <c r="O805" i="6" s="1"/>
  <c r="I364" i="6"/>
  <c r="O739" i="6"/>
  <c r="L737" i="6"/>
  <c r="O737" i="6" s="1"/>
  <c r="O772" i="6"/>
  <c r="L770" i="6"/>
  <c r="O770" i="6" s="1"/>
  <c r="I592" i="6"/>
  <c r="K592" i="6" s="1"/>
  <c r="K593" i="6"/>
  <c r="N754" i="6"/>
  <c r="M330" i="6"/>
  <c r="M347" i="6"/>
  <c r="K381" i="6"/>
  <c r="L391" i="6"/>
  <c r="O391" i="6" s="1"/>
  <c r="M424" i="6"/>
  <c r="L469" i="6"/>
  <c r="O469" i="6" s="1"/>
  <c r="N739" i="6"/>
  <c r="N737" i="6" s="1"/>
  <c r="N740" i="6"/>
  <c r="N772" i="6"/>
  <c r="N770" i="6" s="1"/>
  <c r="N773" i="6"/>
  <c r="I237" i="6"/>
  <c r="K360" i="6"/>
  <c r="M391" i="6"/>
  <c r="P391" i="6" s="1"/>
  <c r="L421" i="6"/>
  <c r="O421" i="6" s="1"/>
  <c r="K669" i="6"/>
  <c r="O756" i="6"/>
  <c r="L754" i="6"/>
  <c r="O754" i="6" s="1"/>
  <c r="I522" i="6"/>
  <c r="L526" i="6"/>
  <c r="O526" i="6" s="1"/>
  <c r="M547" i="6"/>
  <c r="P547" i="6" s="1"/>
  <c r="I654" i="6"/>
  <c r="K654" i="6" s="1"/>
  <c r="P656" i="6"/>
  <c r="L658" i="6"/>
  <c r="O658" i="6" s="1"/>
  <c r="K674" i="6"/>
  <c r="O690" i="6"/>
  <c r="N789" i="6"/>
  <c r="O789" i="6" s="1"/>
  <c r="K651" i="6"/>
  <c r="L688" i="6"/>
  <c r="N43" i="5"/>
  <c r="N41" i="5" s="1"/>
  <c r="N44" i="5"/>
  <c r="P44" i="5" s="1"/>
  <c r="M317" i="5"/>
  <c r="P317" i="5" s="1"/>
  <c r="P323" i="5"/>
  <c r="M321" i="5"/>
  <c r="P321" i="5" s="1"/>
  <c r="K99" i="3"/>
  <c r="I87" i="3"/>
  <c r="K87" i="3" s="1"/>
  <c r="I237" i="4"/>
  <c r="K237" i="4" s="1"/>
  <c r="K244" i="4"/>
  <c r="N55" i="5"/>
  <c r="N53" i="5" s="1"/>
  <c r="N56" i="5"/>
  <c r="O56" i="5" s="1"/>
  <c r="P58" i="5"/>
  <c r="I216" i="5"/>
  <c r="K216" i="5" s="1"/>
  <c r="K224" i="5"/>
  <c r="K338" i="5"/>
  <c r="J327" i="5"/>
  <c r="K327" i="5" s="1"/>
  <c r="N68" i="5"/>
  <c r="N66" i="5" s="1"/>
  <c r="N72" i="5"/>
  <c r="O140" i="5"/>
  <c r="L138" i="5"/>
  <c r="O138" i="5" s="1"/>
  <c r="N264" i="5"/>
  <c r="P264" i="5" s="1"/>
  <c r="N263" i="5"/>
  <c r="N261" i="5" s="1"/>
  <c r="I260" i="5"/>
  <c r="K260" i="5" s="1"/>
  <c r="K271" i="5"/>
  <c r="K309" i="5"/>
  <c r="I297" i="5"/>
  <c r="K297" i="5" s="1"/>
  <c r="M47" i="5"/>
  <c r="P47" i="5" s="1"/>
  <c r="P49" i="5"/>
  <c r="L421" i="5"/>
  <c r="O421" i="5" s="1"/>
  <c r="L422" i="5"/>
  <c r="O422" i="5" s="1"/>
  <c r="N134" i="5"/>
  <c r="N132" i="5" s="1"/>
  <c r="K193" i="5"/>
  <c r="I190" i="5"/>
  <c r="K190" i="5" s="1"/>
  <c r="N330" i="4"/>
  <c r="N328" i="4" s="1"/>
  <c r="N90" i="4"/>
  <c r="N88" i="4" s="1"/>
  <c r="L121" i="5"/>
  <c r="O121" i="5" s="1"/>
  <c r="I174" i="5"/>
  <c r="K174" i="5" s="1"/>
  <c r="L395" i="5"/>
  <c r="O395" i="5" s="1"/>
  <c r="L429" i="5"/>
  <c r="O429" i="5" s="1"/>
  <c r="O431" i="5"/>
  <c r="J722" i="5"/>
  <c r="K592" i="5"/>
  <c r="K369" i="4"/>
  <c r="L231" i="5"/>
  <c r="O528" i="5"/>
  <c r="K537" i="5"/>
  <c r="P125" i="1"/>
  <c r="I76" i="4"/>
  <c r="K76" i="4" s="1"/>
  <c r="L187" i="4"/>
  <c r="O187" i="4" s="1"/>
  <c r="I442" i="4"/>
  <c r="K442" i="4" s="1"/>
  <c r="L23" i="5"/>
  <c r="I87" i="5"/>
  <c r="K87" i="5" s="1"/>
  <c r="N121" i="5"/>
  <c r="N119" i="5" s="1"/>
  <c r="L228" i="5"/>
  <c r="L209" i="5"/>
  <c r="O209" i="5" s="1"/>
  <c r="K362" i="5"/>
  <c r="K826" i="3"/>
  <c r="L477" i="4"/>
  <c r="O477" i="4" s="1"/>
  <c r="M43" i="5"/>
  <c r="M41" i="5" s="1"/>
  <c r="P61" i="5"/>
  <c r="L134" i="5"/>
  <c r="O134" i="5" s="1"/>
  <c r="M151" i="5"/>
  <c r="P151" i="5" s="1"/>
  <c r="M167" i="5"/>
  <c r="M165" i="5" s="1"/>
  <c r="K204" i="5"/>
  <c r="M330" i="5"/>
  <c r="M328" i="5" s="1"/>
  <c r="L525" i="5"/>
  <c r="O525" i="5" s="1"/>
  <c r="K823" i="5"/>
  <c r="K826" i="5"/>
  <c r="P348" i="4"/>
  <c r="P410" i="5"/>
  <c r="M408" i="5"/>
  <c r="P408" i="5" s="1"/>
  <c r="M404" i="5"/>
  <c r="P404" i="5" s="1"/>
  <c r="O791" i="5"/>
  <c r="L788" i="5"/>
  <c r="O788" i="5" s="1"/>
  <c r="L134" i="3"/>
  <c r="O134" i="3" s="1"/>
  <c r="O46" i="5"/>
  <c r="M125" i="5"/>
  <c r="P125" i="5" s="1"/>
  <c r="P333" i="5"/>
  <c r="N348" i="5"/>
  <c r="P348" i="5" s="1"/>
  <c r="L351" i="5"/>
  <c r="O351" i="5" s="1"/>
  <c r="N405" i="5"/>
  <c r="N404" i="5"/>
  <c r="N402" i="5" s="1"/>
  <c r="J433" i="5"/>
  <c r="J417" i="5" s="1"/>
  <c r="I433" i="5"/>
  <c r="I417" i="5" s="1"/>
  <c r="J722" i="2"/>
  <c r="K722" i="2" s="1"/>
  <c r="M469" i="3"/>
  <c r="P469" i="3" s="1"/>
  <c r="M69" i="4"/>
  <c r="P69" i="4" s="1"/>
  <c r="P71" i="4"/>
  <c r="O170" i="4"/>
  <c r="I208" i="4"/>
  <c r="K208" i="4" s="1"/>
  <c r="K374" i="4"/>
  <c r="L47" i="5"/>
  <c r="O47" i="5" s="1"/>
  <c r="L90" i="5"/>
  <c r="N125" i="5"/>
  <c r="K146" i="5"/>
  <c r="K159" i="5"/>
  <c r="L167" i="5"/>
  <c r="L165" i="5" s="1"/>
  <c r="O186" i="5"/>
  <c r="L198" i="5"/>
  <c r="O198" i="5" s="1"/>
  <c r="O266" i="5"/>
  <c r="I276" i="5"/>
  <c r="K276" i="5" s="1"/>
  <c r="J288" i="5"/>
  <c r="J275" i="5" s="1"/>
  <c r="K275" i="5" s="1"/>
  <c r="N300" i="5"/>
  <c r="N298" i="5" s="1"/>
  <c r="O303" i="5"/>
  <c r="L318" i="5"/>
  <c r="O318" i="5" s="1"/>
  <c r="M334" i="5"/>
  <c r="P334" i="5" s="1"/>
  <c r="M351" i="5"/>
  <c r="P351" i="5" s="1"/>
  <c r="K435" i="5"/>
  <c r="L632" i="5"/>
  <c r="O632" i="5" s="1"/>
  <c r="L631" i="5"/>
  <c r="O634" i="5"/>
  <c r="K359" i="3"/>
  <c r="K385" i="3"/>
  <c r="L59" i="4"/>
  <c r="O59" i="4" s="1"/>
  <c r="L395" i="4"/>
  <c r="O395" i="4" s="1"/>
  <c r="L404" i="4"/>
  <c r="O404" i="4" s="1"/>
  <c r="O431" i="4"/>
  <c r="K821" i="4"/>
  <c r="K824" i="4"/>
  <c r="K827" i="4"/>
  <c r="L55" i="5"/>
  <c r="L53" i="5" s="1"/>
  <c r="O61" i="5"/>
  <c r="P71" i="5"/>
  <c r="P93" i="5"/>
  <c r="L135" i="5"/>
  <c r="O135" i="5" s="1"/>
  <c r="P140" i="5"/>
  <c r="I208" i="5"/>
  <c r="K208" i="5" s="1"/>
  <c r="P282" i="5"/>
  <c r="K359" i="5"/>
  <c r="K374" i="5"/>
  <c r="O348" i="3"/>
  <c r="M404" i="4"/>
  <c r="M402" i="4" s="1"/>
  <c r="P402" i="4" s="1"/>
  <c r="L33" i="5"/>
  <c r="L43" i="5"/>
  <c r="N90" i="5"/>
  <c r="N88" i="5" s="1"/>
  <c r="M121" i="5"/>
  <c r="P121" i="5" s="1"/>
  <c r="L317" i="5"/>
  <c r="O350" i="5"/>
  <c r="P348" i="3"/>
  <c r="I148" i="4"/>
  <c r="K148" i="4" s="1"/>
  <c r="N168" i="4"/>
  <c r="N183" i="4"/>
  <c r="N181" i="4" s="1"/>
  <c r="L229" i="4"/>
  <c r="N264" i="4"/>
  <c r="O264" i="4" s="1"/>
  <c r="L347" i="4"/>
  <c r="L345" i="4" s="1"/>
  <c r="N69" i="5"/>
  <c r="N91" i="5"/>
  <c r="O91" i="5" s="1"/>
  <c r="L94" i="5"/>
  <c r="O94" i="5" s="1"/>
  <c r="M122" i="5"/>
  <c r="P122" i="5" s="1"/>
  <c r="M152" i="5"/>
  <c r="P152" i="5" s="1"/>
  <c r="N151" i="5"/>
  <c r="N149" i="5" s="1"/>
  <c r="P168" i="5"/>
  <c r="P170" i="5"/>
  <c r="P184" i="5"/>
  <c r="N301" i="5"/>
  <c r="L321" i="5"/>
  <c r="O321" i="5" s="1"/>
  <c r="L348" i="5"/>
  <c r="P350" i="5"/>
  <c r="J355" i="5"/>
  <c r="K355" i="5" s="1"/>
  <c r="K360" i="5"/>
  <c r="K369" i="5"/>
  <c r="K385" i="5"/>
  <c r="O410" i="5"/>
  <c r="L408" i="5"/>
  <c r="O408" i="5" s="1"/>
  <c r="L546" i="5"/>
  <c r="O546" i="5" s="1"/>
  <c r="O690" i="5"/>
  <c r="L688" i="5"/>
  <c r="O688" i="5" s="1"/>
  <c r="L687" i="5"/>
  <c r="L685" i="5" s="1"/>
  <c r="O685" i="5" s="1"/>
  <c r="M690" i="5"/>
  <c r="J537" i="5"/>
  <c r="J522" i="5" s="1"/>
  <c r="K673" i="5"/>
  <c r="L454" i="5"/>
  <c r="O454" i="5" s="1"/>
  <c r="K669" i="5"/>
  <c r="P29" i="5"/>
  <c r="L72" i="5"/>
  <c r="O72" i="5" s="1"/>
  <c r="O524" i="5"/>
  <c r="P771" i="5"/>
  <c r="M770" i="5"/>
  <c r="P770" i="5" s="1"/>
  <c r="P788" i="5"/>
  <c r="M786" i="5"/>
  <c r="P786" i="5" s="1"/>
  <c r="P807" i="5"/>
  <c r="M805" i="5"/>
  <c r="P805" i="5" s="1"/>
  <c r="K649" i="3"/>
  <c r="N43" i="4"/>
  <c r="M72" i="4"/>
  <c r="P72" i="4" s="1"/>
  <c r="I112" i="4"/>
  <c r="K112" i="4" s="1"/>
  <c r="I260" i="4"/>
  <c r="K260" i="4" s="1"/>
  <c r="I276" i="4"/>
  <c r="K276" i="4" s="1"/>
  <c r="M280" i="4"/>
  <c r="P351" i="4"/>
  <c r="K359" i="4"/>
  <c r="K362" i="4"/>
  <c r="L391" i="4"/>
  <c r="O391" i="4" s="1"/>
  <c r="M549" i="4"/>
  <c r="M547" i="4" s="1"/>
  <c r="P547" i="4" s="1"/>
  <c r="K649" i="4"/>
  <c r="L687" i="4"/>
  <c r="L685" i="4" s="1"/>
  <c r="O685" i="4" s="1"/>
  <c r="J721" i="4"/>
  <c r="K721" i="4" s="1"/>
  <c r="M12" i="5"/>
  <c r="L15" i="5"/>
  <c r="M23" i="5"/>
  <c r="M21" i="5" s="1"/>
  <c r="P25" i="5"/>
  <c r="P46" i="5"/>
  <c r="M59" i="5"/>
  <c r="M90" i="5"/>
  <c r="M88" i="5" s="1"/>
  <c r="O170" i="5"/>
  <c r="N183" i="5"/>
  <c r="P266" i="5"/>
  <c r="P278" i="5"/>
  <c r="L331" i="5"/>
  <c r="O333" i="5"/>
  <c r="O336" i="5"/>
  <c r="L334" i="5"/>
  <c r="O334" i="5" s="1"/>
  <c r="P686" i="5"/>
  <c r="L470" i="3"/>
  <c r="O470" i="3" s="1"/>
  <c r="O472" i="3"/>
  <c r="P96" i="4"/>
  <c r="L168" i="4"/>
  <c r="M283" i="4"/>
  <c r="P283" i="4" s="1"/>
  <c r="O350" i="4"/>
  <c r="N391" i="4"/>
  <c r="N389" i="4" s="1"/>
  <c r="M19" i="5"/>
  <c r="O22" i="5"/>
  <c r="L19" i="5"/>
  <c r="L12" i="5"/>
  <c r="N23" i="5"/>
  <c r="N21" i="5" s="1"/>
  <c r="L26" i="5"/>
  <c r="N34" i="5"/>
  <c r="M56" i="5"/>
  <c r="N59" i="5"/>
  <c r="O59" i="5" s="1"/>
  <c r="L68" i="5"/>
  <c r="K98" i="5"/>
  <c r="I112" i="5"/>
  <c r="K112" i="5" s="1"/>
  <c r="K115" i="5"/>
  <c r="P150" i="5"/>
  <c r="O154" i="5"/>
  <c r="L152" i="5"/>
  <c r="O152" i="5" s="1"/>
  <c r="P269" i="5"/>
  <c r="J365" i="5"/>
  <c r="J364" i="5" s="1"/>
  <c r="K372" i="5"/>
  <c r="L348" i="4"/>
  <c r="O348" i="4" s="1"/>
  <c r="O127" i="5"/>
  <c r="L125" i="5"/>
  <c r="O125" i="5" s="1"/>
  <c r="N167" i="5"/>
  <c r="L155" i="4"/>
  <c r="O155" i="4" s="1"/>
  <c r="N300" i="4"/>
  <c r="N298" i="4" s="1"/>
  <c r="N26" i="5"/>
  <c r="P32" i="5"/>
  <c r="M26" i="5"/>
  <c r="P120" i="5"/>
  <c r="O124" i="5"/>
  <c r="L122" i="5"/>
  <c r="O122" i="5" s="1"/>
  <c r="P166" i="5"/>
  <c r="L184" i="5"/>
  <c r="O184" i="5" s="1"/>
  <c r="I233" i="5"/>
  <c r="K233" i="5" s="1"/>
  <c r="K244" i="5"/>
  <c r="I237" i="5"/>
  <c r="K255" i="5"/>
  <c r="I248" i="5"/>
  <c r="K248" i="5" s="1"/>
  <c r="P316" i="5"/>
  <c r="P346" i="5"/>
  <c r="O449" i="5"/>
  <c r="M449" i="5"/>
  <c r="L446" i="5"/>
  <c r="O446" i="5" s="1"/>
  <c r="L788" i="2"/>
  <c r="O788" i="2" s="1"/>
  <c r="K79" i="5"/>
  <c r="I77" i="5"/>
  <c r="P472" i="5"/>
  <c r="M470" i="5"/>
  <c r="P470" i="5" s="1"/>
  <c r="M469" i="5"/>
  <c r="P469" i="5" s="1"/>
  <c r="L198" i="4"/>
  <c r="O198" i="4" s="1"/>
  <c r="L546" i="4"/>
  <c r="L544" i="4" s="1"/>
  <c r="J722" i="4"/>
  <c r="K722" i="4" s="1"/>
  <c r="L21" i="5"/>
  <c r="L29" i="5"/>
  <c r="O93" i="5"/>
  <c r="K145" i="5"/>
  <c r="M263" i="5"/>
  <c r="I364" i="5"/>
  <c r="N28" i="5"/>
  <c r="L229" i="5"/>
  <c r="P738" i="5"/>
  <c r="M737" i="5"/>
  <c r="P737" i="5" s="1"/>
  <c r="M43" i="4"/>
  <c r="N55" i="4"/>
  <c r="N53" i="4" s="1"/>
  <c r="K176" i="4"/>
  <c r="I275" i="4"/>
  <c r="K275" i="4" s="1"/>
  <c r="I364" i="4"/>
  <c r="M424" i="4"/>
  <c r="K593" i="4"/>
  <c r="O58" i="5"/>
  <c r="I76" i="5"/>
  <c r="P89" i="5"/>
  <c r="M134" i="5"/>
  <c r="I143" i="5"/>
  <c r="L151" i="5"/>
  <c r="O157" i="5"/>
  <c r="L155" i="5"/>
  <c r="O155" i="5" s="1"/>
  <c r="L171" i="5"/>
  <c r="O171" i="5" s="1"/>
  <c r="L183" i="5"/>
  <c r="P186" i="5"/>
  <c r="L238" i="5"/>
  <c r="L249" i="5"/>
  <c r="O249" i="5" s="1"/>
  <c r="O282" i="5"/>
  <c r="N280" i="5"/>
  <c r="O280" i="5" s="1"/>
  <c r="O390" i="5"/>
  <c r="O407" i="5"/>
  <c r="L404" i="5"/>
  <c r="L447" i="5"/>
  <c r="O447" i="5" s="1"/>
  <c r="P262" i="5"/>
  <c r="L264" i="5"/>
  <c r="L267" i="5"/>
  <c r="O267" i="5" s="1"/>
  <c r="M280" i="5"/>
  <c r="M283" i="5"/>
  <c r="P283" i="5" s="1"/>
  <c r="P299" i="5"/>
  <c r="L301" i="5"/>
  <c r="L304" i="5"/>
  <c r="O304" i="5" s="1"/>
  <c r="N331" i="5"/>
  <c r="P331" i="5" s="1"/>
  <c r="M523" i="5"/>
  <c r="P523" i="5" s="1"/>
  <c r="P524" i="5"/>
  <c r="J654" i="5"/>
  <c r="L658" i="5"/>
  <c r="O658" i="5" s="1"/>
  <c r="O660" i="5"/>
  <c r="M660" i="5"/>
  <c r="O787" i="5"/>
  <c r="I785" i="5"/>
  <c r="K785" i="5" s="1"/>
  <c r="K800" i="5"/>
  <c r="O806" i="5"/>
  <c r="L805" i="5"/>
  <c r="O805" i="5" s="1"/>
  <c r="I434" i="5"/>
  <c r="L547" i="5"/>
  <c r="O547" i="5" s="1"/>
  <c r="O549" i="5"/>
  <c r="M549" i="5"/>
  <c r="K561" i="5"/>
  <c r="I559" i="5"/>
  <c r="K576" i="5"/>
  <c r="K593" i="5"/>
  <c r="O657" i="5"/>
  <c r="L655" i="5"/>
  <c r="O655" i="5" s="1"/>
  <c r="L555" i="5"/>
  <c r="O555" i="5" s="1"/>
  <c r="O557" i="5"/>
  <c r="I628" i="5"/>
  <c r="K628" i="5" s="1"/>
  <c r="K651" i="5"/>
  <c r="P755" i="5"/>
  <c r="M754" i="5"/>
  <c r="P754" i="5" s="1"/>
  <c r="L347" i="5"/>
  <c r="O424" i="5"/>
  <c r="K460" i="5"/>
  <c r="P630" i="5"/>
  <c r="M629" i="5"/>
  <c r="P629" i="5" s="1"/>
  <c r="M347" i="5"/>
  <c r="K381" i="5"/>
  <c r="L391" i="5"/>
  <c r="O391" i="5" s="1"/>
  <c r="P420" i="5"/>
  <c r="M424" i="5"/>
  <c r="O445" i="5"/>
  <c r="K465" i="5"/>
  <c r="P555" i="5"/>
  <c r="M545" i="5"/>
  <c r="K675" i="5"/>
  <c r="K672" i="5"/>
  <c r="I654" i="5"/>
  <c r="K654" i="5" s="1"/>
  <c r="M135" i="3"/>
  <c r="P135" i="3" s="1"/>
  <c r="N134" i="3"/>
  <c r="N132" i="3" s="1"/>
  <c r="N330" i="3"/>
  <c r="N328" i="3" s="1"/>
  <c r="M135" i="4"/>
  <c r="P135" i="4" s="1"/>
  <c r="L267" i="4"/>
  <c r="O267" i="4" s="1"/>
  <c r="M317" i="4"/>
  <c r="P317" i="4" s="1"/>
  <c r="N347" i="4"/>
  <c r="N345" i="4" s="1"/>
  <c r="K355" i="4"/>
  <c r="K372" i="4"/>
  <c r="O407" i="4"/>
  <c r="O535" i="4"/>
  <c r="L657" i="4"/>
  <c r="L655" i="4" s="1"/>
  <c r="N121" i="3"/>
  <c r="N119" i="3" s="1"/>
  <c r="L231" i="3"/>
  <c r="K355" i="3"/>
  <c r="L446" i="3"/>
  <c r="L444" i="3" s="1"/>
  <c r="O444" i="3" s="1"/>
  <c r="L36" i="4"/>
  <c r="O36" i="4" s="1"/>
  <c r="M26" i="4"/>
  <c r="M24" i="4" s="1"/>
  <c r="L94" i="4"/>
  <c r="O94" i="4" s="1"/>
  <c r="M122" i="4"/>
  <c r="P122" i="4" s="1"/>
  <c r="M318" i="4"/>
  <c r="P318" i="4" s="1"/>
  <c r="L321" i="4"/>
  <c r="O321" i="4" s="1"/>
  <c r="L658" i="4"/>
  <c r="O658" i="4" s="1"/>
  <c r="K700" i="4"/>
  <c r="L788" i="4"/>
  <c r="O788" i="4" s="1"/>
  <c r="L171" i="4"/>
  <c r="O171" i="4" s="1"/>
  <c r="L304" i="4"/>
  <c r="O304" i="4" s="1"/>
  <c r="K462" i="4"/>
  <c r="O431" i="2"/>
  <c r="K360" i="3"/>
  <c r="K370" i="3"/>
  <c r="K821" i="3"/>
  <c r="K824" i="3"/>
  <c r="P49" i="4"/>
  <c r="N59" i="4"/>
  <c r="L134" i="4"/>
  <c r="O134" i="4" s="1"/>
  <c r="O186" i="4"/>
  <c r="I522" i="4"/>
  <c r="K522" i="4" s="1"/>
  <c r="I559" i="4"/>
  <c r="I543" i="4" s="1"/>
  <c r="K543" i="4" s="1"/>
  <c r="K647" i="4"/>
  <c r="L228" i="3"/>
  <c r="I522" i="3"/>
  <c r="K522" i="3" s="1"/>
  <c r="L90" i="4"/>
  <c r="M134" i="4"/>
  <c r="P134" i="4" s="1"/>
  <c r="N151" i="4"/>
  <c r="N149" i="4" s="1"/>
  <c r="L167" i="4"/>
  <c r="N263" i="4"/>
  <c r="L279" i="4"/>
  <c r="L277" i="4" s="1"/>
  <c r="M279" i="4"/>
  <c r="M277" i="4" s="1"/>
  <c r="K723" i="4"/>
  <c r="K174" i="4"/>
  <c r="I164" i="4"/>
  <c r="K164" i="4" s="1"/>
  <c r="J722" i="3"/>
  <c r="K722" i="3" s="1"/>
  <c r="I364" i="2"/>
  <c r="L657" i="3"/>
  <c r="O657" i="3" s="1"/>
  <c r="M23" i="4"/>
  <c r="M21" i="4" s="1"/>
  <c r="L44" i="4"/>
  <c r="O44" i="4" s="1"/>
  <c r="I190" i="4"/>
  <c r="K190" i="4" s="1"/>
  <c r="L230" i="4"/>
  <c r="K146" i="3"/>
  <c r="I233" i="3"/>
  <c r="K233" i="3" s="1"/>
  <c r="L279" i="3"/>
  <c r="L277" i="3" s="1"/>
  <c r="J327" i="3"/>
  <c r="K327" i="3" s="1"/>
  <c r="M44" i="4"/>
  <c r="P44" i="4" s="1"/>
  <c r="P58" i="4"/>
  <c r="L69" i="4"/>
  <c r="O69" i="4" s="1"/>
  <c r="N91" i="4"/>
  <c r="O91" i="4" s="1"/>
  <c r="O93" i="4"/>
  <c r="L121" i="4"/>
  <c r="O121" i="4" s="1"/>
  <c r="M138" i="4"/>
  <c r="P138" i="4" s="1"/>
  <c r="P140" i="4"/>
  <c r="L231" i="4"/>
  <c r="M263" i="4"/>
  <c r="O282" i="4"/>
  <c r="O303" i="4"/>
  <c r="N331" i="4"/>
  <c r="P331" i="4" s="1"/>
  <c r="P333" i="4"/>
  <c r="K340" i="4"/>
  <c r="P353" i="4"/>
  <c r="L392" i="4"/>
  <c r="O392" i="4" s="1"/>
  <c r="O472" i="4"/>
  <c r="L470" i="4"/>
  <c r="M634" i="4"/>
  <c r="M631" i="4" s="1"/>
  <c r="M629" i="4" s="1"/>
  <c r="K822" i="4"/>
  <c r="K825" i="4"/>
  <c r="K828" i="4"/>
  <c r="P61" i="3"/>
  <c r="K385" i="2"/>
  <c r="L283" i="3"/>
  <c r="O283" i="3" s="1"/>
  <c r="O46" i="4"/>
  <c r="P56" i="4"/>
  <c r="P93" i="4"/>
  <c r="K98" i="4"/>
  <c r="M121" i="4"/>
  <c r="P121" i="4" s="1"/>
  <c r="L125" i="4"/>
  <c r="O125" i="4" s="1"/>
  <c r="J143" i="4"/>
  <c r="J131" i="4" s="1"/>
  <c r="L184" i="4"/>
  <c r="O184" i="4" s="1"/>
  <c r="L217" i="4"/>
  <c r="O217" i="4" s="1"/>
  <c r="I314" i="4"/>
  <c r="K314" i="4" s="1"/>
  <c r="N317" i="4"/>
  <c r="N315" i="4" s="1"/>
  <c r="L334" i="4"/>
  <c r="O334" i="4" s="1"/>
  <c r="O690" i="4"/>
  <c r="L688" i="4"/>
  <c r="O688" i="4" s="1"/>
  <c r="L263" i="2"/>
  <c r="L261" i="2" s="1"/>
  <c r="J365" i="4"/>
  <c r="K365" i="4" s="1"/>
  <c r="P44" i="3"/>
  <c r="N121" i="4"/>
  <c r="N119" i="4" s="1"/>
  <c r="I216" i="4"/>
  <c r="K216" i="4" s="1"/>
  <c r="N280" i="4"/>
  <c r="N279" i="4"/>
  <c r="N277" i="4" s="1"/>
  <c r="L300" i="4"/>
  <c r="O300" i="4" s="1"/>
  <c r="L454" i="4"/>
  <c r="O454" i="4" s="1"/>
  <c r="L446" i="4"/>
  <c r="O446" i="4" s="1"/>
  <c r="L469" i="4"/>
  <c r="O469" i="4" s="1"/>
  <c r="O528" i="4"/>
  <c r="L525" i="4"/>
  <c r="O525" i="4" s="1"/>
  <c r="M687" i="4"/>
  <c r="P687" i="4" s="1"/>
  <c r="M688" i="4"/>
  <c r="P688" i="4" s="1"/>
  <c r="P690" i="4"/>
  <c r="K725" i="4"/>
  <c r="P280" i="2"/>
  <c r="I86" i="3"/>
  <c r="K86" i="3" s="1"/>
  <c r="L238" i="4"/>
  <c r="O238" i="4" s="1"/>
  <c r="M300" i="4"/>
  <c r="K309" i="4"/>
  <c r="I297" i="4"/>
  <c r="K297" i="4" s="1"/>
  <c r="J327" i="4"/>
  <c r="K327" i="4" s="1"/>
  <c r="O353" i="4"/>
  <c r="K379" i="4"/>
  <c r="M405" i="4"/>
  <c r="P405" i="4" s="1"/>
  <c r="P407" i="4"/>
  <c r="K288" i="4"/>
  <c r="M347" i="4"/>
  <c r="K360" i="4"/>
  <c r="K385" i="4"/>
  <c r="K673" i="4"/>
  <c r="K823" i="4"/>
  <c r="K826" i="4"/>
  <c r="O557" i="4"/>
  <c r="I654" i="4"/>
  <c r="M267" i="3"/>
  <c r="P267" i="3" s="1"/>
  <c r="P269" i="3"/>
  <c r="P320" i="3"/>
  <c r="M318" i="3"/>
  <c r="P318" i="3" s="1"/>
  <c r="P12" i="4"/>
  <c r="P54" i="4"/>
  <c r="O74" i="4"/>
  <c r="L68" i="4"/>
  <c r="I417" i="4"/>
  <c r="N446" i="4"/>
  <c r="N444" i="4" s="1"/>
  <c r="N447" i="4"/>
  <c r="J654" i="4"/>
  <c r="K669" i="4"/>
  <c r="P738" i="4"/>
  <c r="M737" i="4"/>
  <c r="P737" i="4" s="1"/>
  <c r="P771" i="4"/>
  <c r="M770" i="4"/>
  <c r="P770" i="4" s="1"/>
  <c r="P788" i="4"/>
  <c r="M786" i="4"/>
  <c r="P786" i="4" s="1"/>
  <c r="P807" i="4"/>
  <c r="M805" i="4"/>
  <c r="P805" i="4" s="1"/>
  <c r="M90" i="2"/>
  <c r="M88" i="2" s="1"/>
  <c r="P184" i="2"/>
  <c r="M300" i="2"/>
  <c r="P300" i="2" s="1"/>
  <c r="N330" i="2"/>
  <c r="N328" i="2" s="1"/>
  <c r="O46" i="3"/>
  <c r="N55" i="3"/>
  <c r="N53" i="3" s="1"/>
  <c r="N68" i="3"/>
  <c r="N66" i="3" s="1"/>
  <c r="L90" i="3"/>
  <c r="L88" i="3" s="1"/>
  <c r="P42" i="4"/>
  <c r="L72" i="4"/>
  <c r="O72" i="4" s="1"/>
  <c r="N138" i="4"/>
  <c r="N26" i="4"/>
  <c r="N16" i="4" s="1"/>
  <c r="N14" i="4" s="1"/>
  <c r="N134" i="4"/>
  <c r="N132" i="4" s="1"/>
  <c r="K271" i="3"/>
  <c r="I260" i="3"/>
  <c r="K260" i="3" s="1"/>
  <c r="P306" i="3"/>
  <c r="M304" i="3"/>
  <c r="P304" i="3" s="1"/>
  <c r="M317" i="3"/>
  <c r="P317" i="3" s="1"/>
  <c r="O12" i="4"/>
  <c r="L279" i="2"/>
  <c r="L277" i="2" s="1"/>
  <c r="K378" i="2"/>
  <c r="K381" i="2"/>
  <c r="L36" i="2"/>
  <c r="O36" i="2" s="1"/>
  <c r="N43" i="3"/>
  <c r="N41" i="3" s="1"/>
  <c r="O124" i="3"/>
  <c r="O127" i="3"/>
  <c r="N167" i="3"/>
  <c r="N165" i="3" s="1"/>
  <c r="I276" i="3"/>
  <c r="K276" i="3" s="1"/>
  <c r="O182" i="4"/>
  <c r="N405" i="4"/>
  <c r="N404" i="4"/>
  <c r="N402" i="4" s="1"/>
  <c r="N23" i="4"/>
  <c r="K701" i="2"/>
  <c r="P140" i="3"/>
  <c r="O407" i="2"/>
  <c r="O333" i="3"/>
  <c r="N331" i="3"/>
  <c r="P331" i="3" s="1"/>
  <c r="K725" i="3"/>
  <c r="N29" i="4"/>
  <c r="N12" i="4"/>
  <c r="M34" i="4"/>
  <c r="P34" i="4" s="1"/>
  <c r="M29" i="4"/>
  <c r="P35" i="4"/>
  <c r="M15" i="4"/>
  <c r="O166" i="4"/>
  <c r="L230" i="3"/>
  <c r="O351" i="3"/>
  <c r="I364" i="3"/>
  <c r="K577" i="3"/>
  <c r="L15" i="4"/>
  <c r="L19" i="4"/>
  <c r="L23" i="4"/>
  <c r="L21" i="4" s="1"/>
  <c r="P46" i="4"/>
  <c r="L56" i="4"/>
  <c r="O56" i="4" s="1"/>
  <c r="M59" i="4"/>
  <c r="P59" i="4" s="1"/>
  <c r="I77" i="4"/>
  <c r="M90" i="4"/>
  <c r="I130" i="4"/>
  <c r="K130" i="4" s="1"/>
  <c r="M152" i="4"/>
  <c r="P152" i="4" s="1"/>
  <c r="P154" i="4"/>
  <c r="M184" i="4"/>
  <c r="P184" i="4" s="1"/>
  <c r="P186" i="4"/>
  <c r="L209" i="4"/>
  <c r="O209" i="4" s="1"/>
  <c r="L228" i="4"/>
  <c r="L249" i="4"/>
  <c r="O249" i="4" s="1"/>
  <c r="O333" i="4"/>
  <c r="L330" i="4"/>
  <c r="P394" i="4"/>
  <c r="M391" i="4"/>
  <c r="L26" i="4"/>
  <c r="L135" i="4"/>
  <c r="O135" i="4" s="1"/>
  <c r="O137" i="4"/>
  <c r="M168" i="4"/>
  <c r="P170" i="4"/>
  <c r="O424" i="4"/>
  <c r="L55" i="4"/>
  <c r="K80" i="4"/>
  <c r="P133" i="4"/>
  <c r="M187" i="4"/>
  <c r="P187" i="4" s="1"/>
  <c r="P189" i="4"/>
  <c r="O168" i="3"/>
  <c r="O186" i="3"/>
  <c r="M55" i="4"/>
  <c r="N68" i="4"/>
  <c r="N66" i="4" s="1"/>
  <c r="O89" i="4"/>
  <c r="O120" i="4"/>
  <c r="M125" i="4"/>
  <c r="P125" i="4" s="1"/>
  <c r="P127" i="4"/>
  <c r="L138" i="4"/>
  <c r="O138" i="4" s="1"/>
  <c r="O140" i="4"/>
  <c r="K145" i="4"/>
  <c r="I143" i="4"/>
  <c r="M151" i="4"/>
  <c r="M155" i="4"/>
  <c r="P155" i="4" s="1"/>
  <c r="P157" i="4"/>
  <c r="O420" i="4"/>
  <c r="P472" i="4"/>
  <c r="M469" i="4"/>
  <c r="O49" i="4"/>
  <c r="O150" i="4"/>
  <c r="M167" i="4"/>
  <c r="M171" i="4"/>
  <c r="P171" i="4" s="1"/>
  <c r="P173" i="4"/>
  <c r="M183" i="4"/>
  <c r="K204" i="4"/>
  <c r="I197" i="4"/>
  <c r="K197" i="4" s="1"/>
  <c r="P316" i="4"/>
  <c r="P336" i="4"/>
  <c r="M330" i="4"/>
  <c r="K370" i="4"/>
  <c r="O403" i="4"/>
  <c r="L33" i="4"/>
  <c r="O262" i="4"/>
  <c r="P266" i="4"/>
  <c r="P269" i="4"/>
  <c r="P278" i="4"/>
  <c r="L280" i="4"/>
  <c r="L283" i="4"/>
  <c r="O283" i="4" s="1"/>
  <c r="O299" i="4"/>
  <c r="P303" i="4"/>
  <c r="P306" i="4"/>
  <c r="L318" i="4"/>
  <c r="O318" i="4" s="1"/>
  <c r="M321" i="4"/>
  <c r="P321" i="4" s="1"/>
  <c r="P350" i="4"/>
  <c r="P410" i="4"/>
  <c r="N424" i="4"/>
  <c r="I434" i="4"/>
  <c r="O449" i="4"/>
  <c r="N470" i="4"/>
  <c r="P470" i="4" s="1"/>
  <c r="P686" i="4"/>
  <c r="O787" i="4"/>
  <c r="I785" i="4"/>
  <c r="K785" i="4" s="1"/>
  <c r="K800" i="4"/>
  <c r="O806" i="4"/>
  <c r="L805" i="4"/>
  <c r="O805" i="4" s="1"/>
  <c r="O351" i="4"/>
  <c r="O549" i="4"/>
  <c r="N546" i="4"/>
  <c r="N547" i="4"/>
  <c r="N629" i="4"/>
  <c r="M655" i="4"/>
  <c r="M658" i="4"/>
  <c r="P658" i="4" s="1"/>
  <c r="P660" i="4"/>
  <c r="L317" i="4"/>
  <c r="O317" i="4" s="1"/>
  <c r="N318" i="4"/>
  <c r="O547" i="4"/>
  <c r="K628" i="4"/>
  <c r="K651" i="4"/>
  <c r="O656" i="4"/>
  <c r="O660" i="4"/>
  <c r="N657" i="4"/>
  <c r="P755" i="4"/>
  <c r="M754" i="4"/>
  <c r="P754" i="4" s="1"/>
  <c r="O468" i="4"/>
  <c r="O524" i="4"/>
  <c r="J537" i="4"/>
  <c r="J522" i="4" s="1"/>
  <c r="O634" i="4"/>
  <c r="N631" i="4"/>
  <c r="N632" i="4"/>
  <c r="I233" i="4"/>
  <c r="K233" i="4" s="1"/>
  <c r="I248" i="4"/>
  <c r="O329" i="4"/>
  <c r="L421" i="4"/>
  <c r="L419" i="4" s="1"/>
  <c r="K435" i="4"/>
  <c r="J433" i="4"/>
  <c r="J417" i="4" s="1"/>
  <c r="M444" i="4"/>
  <c r="P444" i="4" s="1"/>
  <c r="P445" i="4"/>
  <c r="N544" i="4"/>
  <c r="K594" i="4"/>
  <c r="O632" i="4"/>
  <c r="L631" i="4"/>
  <c r="L629" i="4" s="1"/>
  <c r="O629" i="4" s="1"/>
  <c r="L639" i="4"/>
  <c r="O639" i="4" s="1"/>
  <c r="K675" i="4"/>
  <c r="L526" i="4"/>
  <c r="O526" i="4" s="1"/>
  <c r="K672" i="4"/>
  <c r="P91" i="2"/>
  <c r="M151" i="2"/>
  <c r="M149" i="2" s="1"/>
  <c r="N347" i="2"/>
  <c r="N345" i="2" s="1"/>
  <c r="N59" i="3"/>
  <c r="O59" i="3" s="1"/>
  <c r="K204" i="3"/>
  <c r="K378" i="3"/>
  <c r="L391" i="3"/>
  <c r="O391" i="3" s="1"/>
  <c r="P394" i="3"/>
  <c r="O397" i="3"/>
  <c r="I434" i="3"/>
  <c r="I418" i="3" s="1"/>
  <c r="K418" i="3" s="1"/>
  <c r="M43" i="3"/>
  <c r="M41" i="3" s="1"/>
  <c r="K340" i="3"/>
  <c r="L469" i="3"/>
  <c r="P472" i="3"/>
  <c r="L454" i="3"/>
  <c r="O454" i="3" s="1"/>
  <c r="O189" i="2"/>
  <c r="I197" i="2"/>
  <c r="K197" i="2" s="1"/>
  <c r="L72" i="3"/>
  <c r="O72" i="3" s="1"/>
  <c r="L171" i="3"/>
  <c r="O171" i="3" s="1"/>
  <c r="P282" i="3"/>
  <c r="O350" i="3"/>
  <c r="P353" i="3"/>
  <c r="K362" i="3"/>
  <c r="M72" i="3"/>
  <c r="P72" i="3" s="1"/>
  <c r="J143" i="3"/>
  <c r="J131" i="3" s="1"/>
  <c r="P154" i="3"/>
  <c r="L217" i="3"/>
  <c r="O217" i="3" s="1"/>
  <c r="O282" i="3"/>
  <c r="O306" i="3"/>
  <c r="P336" i="3"/>
  <c r="M449" i="3"/>
  <c r="M446" i="3" s="1"/>
  <c r="P446" i="3" s="1"/>
  <c r="K460" i="3"/>
  <c r="K561" i="3"/>
  <c r="K159" i="1"/>
  <c r="K311" i="1"/>
  <c r="K378" i="1"/>
  <c r="K381" i="1"/>
  <c r="M33" i="1"/>
  <c r="M31" i="1" s="1"/>
  <c r="L26" i="3"/>
  <c r="L24" i="3" s="1"/>
  <c r="P58" i="3"/>
  <c r="L183" i="3"/>
  <c r="L181" i="3" s="1"/>
  <c r="L187" i="3"/>
  <c r="O187" i="3" s="1"/>
  <c r="M330" i="3"/>
  <c r="K338" i="3"/>
  <c r="K372" i="3"/>
  <c r="K647" i="3"/>
  <c r="L135" i="3"/>
  <c r="O135" i="3" s="1"/>
  <c r="L632" i="3"/>
  <c r="M634" i="3"/>
  <c r="P634" i="3" s="1"/>
  <c r="L631" i="3"/>
  <c r="L629" i="3" s="1"/>
  <c r="O629" i="3" s="1"/>
  <c r="L68" i="2"/>
  <c r="O68" i="2" s="1"/>
  <c r="O93" i="2"/>
  <c r="P186" i="2"/>
  <c r="I260" i="2"/>
  <c r="K260" i="2" s="1"/>
  <c r="N331" i="2"/>
  <c r="O331" i="2" s="1"/>
  <c r="M472" i="2"/>
  <c r="M470" i="2" s="1"/>
  <c r="P46" i="3"/>
  <c r="L69" i="3"/>
  <c r="O69" i="3" s="1"/>
  <c r="P71" i="3"/>
  <c r="L94" i="3"/>
  <c r="O94" i="3" s="1"/>
  <c r="M125" i="3"/>
  <c r="P125" i="3" s="1"/>
  <c r="I148" i="3"/>
  <c r="K148" i="3" s="1"/>
  <c r="L151" i="3"/>
  <c r="O151" i="3" s="1"/>
  <c r="P170" i="3"/>
  <c r="N183" i="3"/>
  <c r="N181" i="3" s="1"/>
  <c r="L229" i="3"/>
  <c r="I248" i="3"/>
  <c r="K248" i="3" s="1"/>
  <c r="O269" i="3"/>
  <c r="N317" i="3"/>
  <c r="N315" i="3" s="1"/>
  <c r="K325" i="3"/>
  <c r="L330" i="3"/>
  <c r="P333" i="3"/>
  <c r="L347" i="3"/>
  <c r="L345" i="3" s="1"/>
  <c r="P351" i="3"/>
  <c r="K369" i="3"/>
  <c r="M391" i="3"/>
  <c r="P397" i="3"/>
  <c r="L639" i="3"/>
  <c r="O639" i="3" s="1"/>
  <c r="O641" i="3"/>
  <c r="L555" i="3"/>
  <c r="O555" i="3" s="1"/>
  <c r="L546" i="3"/>
  <c r="L544" i="3" s="1"/>
  <c r="L183" i="2"/>
  <c r="L181" i="2" s="1"/>
  <c r="P69" i="3"/>
  <c r="P168" i="3"/>
  <c r="L184" i="3"/>
  <c r="O184" i="3" s="1"/>
  <c r="M347" i="3"/>
  <c r="M345" i="3" s="1"/>
  <c r="K381" i="3"/>
  <c r="L44" i="3"/>
  <c r="O44" i="3" s="1"/>
  <c r="O91" i="3"/>
  <c r="O56" i="2"/>
  <c r="L134" i="2"/>
  <c r="L132" i="2" s="1"/>
  <c r="O132" i="2" s="1"/>
  <c r="K465" i="2"/>
  <c r="J721" i="2"/>
  <c r="K721" i="2" s="1"/>
  <c r="L36" i="3"/>
  <c r="O36" i="3" s="1"/>
  <c r="O71" i="3"/>
  <c r="L138" i="3"/>
  <c r="O138" i="3" s="1"/>
  <c r="O154" i="3"/>
  <c r="K193" i="3"/>
  <c r="K309" i="3"/>
  <c r="O336" i="3"/>
  <c r="P350" i="3"/>
  <c r="L421" i="3"/>
  <c r="N56" i="3"/>
  <c r="P56" i="3" s="1"/>
  <c r="K297" i="3"/>
  <c r="L43" i="2"/>
  <c r="L41" i="2" s="1"/>
  <c r="L121" i="2"/>
  <c r="O121" i="2" s="1"/>
  <c r="N301" i="2"/>
  <c r="K360" i="2"/>
  <c r="L33" i="3"/>
  <c r="L31" i="3" s="1"/>
  <c r="L47" i="3"/>
  <c r="O47" i="3" s="1"/>
  <c r="M134" i="3"/>
  <c r="P134" i="3" s="1"/>
  <c r="K145" i="3"/>
  <c r="L198" i="3"/>
  <c r="O198" i="3" s="1"/>
  <c r="L209" i="3"/>
  <c r="O209" i="3" s="1"/>
  <c r="N280" i="3"/>
  <c r="O280" i="3" s="1"/>
  <c r="J288" i="3"/>
  <c r="J275" i="3" s="1"/>
  <c r="M300" i="3"/>
  <c r="M298" i="3" s="1"/>
  <c r="L321" i="3"/>
  <c r="O321" i="3" s="1"/>
  <c r="K374" i="3"/>
  <c r="K379" i="3"/>
  <c r="O424" i="3"/>
  <c r="J433" i="3"/>
  <c r="J417" i="3" s="1"/>
  <c r="K462" i="3"/>
  <c r="O528" i="3"/>
  <c r="L526" i="3"/>
  <c r="O526" i="3" s="1"/>
  <c r="K822" i="3"/>
  <c r="M263" i="2"/>
  <c r="M261" i="2" s="1"/>
  <c r="N279" i="2"/>
  <c r="M321" i="2"/>
  <c r="P321" i="2" s="1"/>
  <c r="P333" i="2"/>
  <c r="K649" i="2"/>
  <c r="M155" i="3"/>
  <c r="P155" i="3" s="1"/>
  <c r="N263" i="3"/>
  <c r="N261" i="3" s="1"/>
  <c r="I275" i="3"/>
  <c r="M321" i="3"/>
  <c r="P321" i="3" s="1"/>
  <c r="O394" i="3"/>
  <c r="M408" i="3"/>
  <c r="P408" i="3" s="1"/>
  <c r="L789" i="3"/>
  <c r="O789" i="3" s="1"/>
  <c r="O791" i="3"/>
  <c r="K823" i="3"/>
  <c r="K828" i="3"/>
  <c r="J537" i="3"/>
  <c r="J522" i="3" s="1"/>
  <c r="K827" i="3"/>
  <c r="N9" i="3"/>
  <c r="L279" i="1"/>
  <c r="L277" i="1" s="1"/>
  <c r="L69" i="2"/>
  <c r="O69" i="2" s="1"/>
  <c r="L91" i="2"/>
  <c r="O91" i="2" s="1"/>
  <c r="K111" i="2"/>
  <c r="L125" i="2"/>
  <c r="O125" i="2" s="1"/>
  <c r="I130" i="2"/>
  <c r="K130" i="2" s="1"/>
  <c r="L135" i="2"/>
  <c r="O135" i="2" s="1"/>
  <c r="N167" i="2"/>
  <c r="N165" i="2" s="1"/>
  <c r="L228" i="2"/>
  <c r="I275" i="2"/>
  <c r="M331" i="2"/>
  <c r="K370" i="2"/>
  <c r="K374" i="2"/>
  <c r="L391" i="2"/>
  <c r="O391" i="2" s="1"/>
  <c r="K460" i="2"/>
  <c r="K723" i="2"/>
  <c r="L23" i="3"/>
  <c r="L21" i="3" s="1"/>
  <c r="M26" i="3"/>
  <c r="L29" i="3"/>
  <c r="M34" i="3"/>
  <c r="P34" i="3" s="1"/>
  <c r="L43" i="3"/>
  <c r="M55" i="3"/>
  <c r="M68" i="3"/>
  <c r="M94" i="3"/>
  <c r="P94" i="3" s="1"/>
  <c r="O137" i="3"/>
  <c r="M171" i="3"/>
  <c r="P171" i="3" s="1"/>
  <c r="P186" i="3"/>
  <c r="M183" i="3"/>
  <c r="M184" i="3"/>
  <c r="P184" i="3" s="1"/>
  <c r="K224" i="3"/>
  <c r="I216" i="3"/>
  <c r="K216" i="3" s="1"/>
  <c r="L238" i="3"/>
  <c r="O264" i="3"/>
  <c r="M279" i="2"/>
  <c r="M283" i="2"/>
  <c r="P283" i="2" s="1"/>
  <c r="K338" i="2"/>
  <c r="L392" i="2"/>
  <c r="O392" i="2" s="1"/>
  <c r="L421" i="2"/>
  <c r="O421" i="2" s="1"/>
  <c r="K821" i="2"/>
  <c r="K824" i="2"/>
  <c r="K827" i="2"/>
  <c r="L9" i="3"/>
  <c r="M23" i="3"/>
  <c r="N29" i="3"/>
  <c r="O32" i="3"/>
  <c r="N23" i="3"/>
  <c r="I76" i="3"/>
  <c r="K79" i="3"/>
  <c r="I77" i="3"/>
  <c r="N151" i="3"/>
  <c r="N149" i="3" s="1"/>
  <c r="N152" i="3"/>
  <c r="P266" i="3"/>
  <c r="M264" i="3"/>
  <c r="P264" i="3" s="1"/>
  <c r="M263" i="3"/>
  <c r="P738" i="3"/>
  <c r="M737" i="3"/>
  <c r="P737" i="3" s="1"/>
  <c r="P771" i="3"/>
  <c r="M770" i="3"/>
  <c r="P770" i="3" s="1"/>
  <c r="O58" i="1"/>
  <c r="J100" i="1"/>
  <c r="K100" i="1" s="1"/>
  <c r="I112" i="1"/>
  <c r="M263" i="1"/>
  <c r="M261" i="1" s="1"/>
  <c r="I237" i="2"/>
  <c r="K237" i="2" s="1"/>
  <c r="L304" i="2"/>
  <c r="O304" i="2" s="1"/>
  <c r="O353" i="2"/>
  <c r="P49" i="3"/>
  <c r="O54" i="3"/>
  <c r="O58" i="3"/>
  <c r="K215" i="3"/>
  <c r="I208" i="3"/>
  <c r="K208" i="3" s="1"/>
  <c r="I112" i="3"/>
  <c r="K112" i="3" s="1"/>
  <c r="P124" i="3"/>
  <c r="M122" i="3"/>
  <c r="P122" i="3" s="1"/>
  <c r="M121" i="3"/>
  <c r="J721" i="3"/>
  <c r="K721" i="3" s="1"/>
  <c r="K723" i="3"/>
  <c r="P127" i="1"/>
  <c r="K224" i="1"/>
  <c r="K338" i="1"/>
  <c r="L151" i="2"/>
  <c r="L149" i="2" s="1"/>
  <c r="M183" i="2"/>
  <c r="M181" i="2" s="1"/>
  <c r="I208" i="2"/>
  <c r="K208" i="2" s="1"/>
  <c r="L231" i="2"/>
  <c r="K725" i="2"/>
  <c r="O35" i="3"/>
  <c r="L55" i="3"/>
  <c r="N90" i="3"/>
  <c r="N88" i="3" s="1"/>
  <c r="P93" i="3"/>
  <c r="M90" i="3"/>
  <c r="M88" i="3" s="1"/>
  <c r="M187" i="3"/>
  <c r="P187" i="3" s="1"/>
  <c r="N301" i="3"/>
  <c r="P303" i="3"/>
  <c r="N300" i="3"/>
  <c r="N298" i="3" s="1"/>
  <c r="O303" i="3"/>
  <c r="L33" i="2"/>
  <c r="P170" i="2"/>
  <c r="O61" i="3"/>
  <c r="N26" i="3"/>
  <c r="N446" i="3"/>
  <c r="N447" i="3"/>
  <c r="O447" i="3" s="1"/>
  <c r="O449" i="3"/>
  <c r="N33" i="3"/>
  <c r="L121" i="3"/>
  <c r="O121" i="3" s="1"/>
  <c r="P150" i="3"/>
  <c r="O170" i="3"/>
  <c r="L167" i="3"/>
  <c r="N227" i="3"/>
  <c r="M280" i="3"/>
  <c r="M279" i="3"/>
  <c r="K365" i="3"/>
  <c r="O403" i="3"/>
  <c r="N444" i="3"/>
  <c r="N414" i="3" s="1"/>
  <c r="I559" i="3"/>
  <c r="K576" i="3"/>
  <c r="O157" i="3"/>
  <c r="K244" i="3"/>
  <c r="I237" i="3"/>
  <c r="L263" i="3"/>
  <c r="O266" i="3"/>
  <c r="O320" i="3"/>
  <c r="L317" i="3"/>
  <c r="P403" i="3"/>
  <c r="M421" i="3"/>
  <c r="M422" i="3"/>
  <c r="P422" i="3" s="1"/>
  <c r="O329" i="3"/>
  <c r="N392" i="3"/>
  <c r="N391" i="3"/>
  <c r="N389" i="3" s="1"/>
  <c r="M9" i="3"/>
  <c r="M15" i="3"/>
  <c r="M29" i="3"/>
  <c r="O93" i="3"/>
  <c r="O133" i="3"/>
  <c r="I143" i="3"/>
  <c r="M151" i="3"/>
  <c r="P151" i="3" s="1"/>
  <c r="M167" i="3"/>
  <c r="L249" i="3"/>
  <c r="O249" i="3" s="1"/>
  <c r="M283" i="3"/>
  <c r="P283" i="3" s="1"/>
  <c r="P285" i="3"/>
  <c r="L318" i="3"/>
  <c r="O318" i="3" s="1"/>
  <c r="P329" i="3"/>
  <c r="P407" i="3"/>
  <c r="M404" i="3"/>
  <c r="P404" i="3" s="1"/>
  <c r="L408" i="3"/>
  <c r="O408" i="3" s="1"/>
  <c r="O410" i="3"/>
  <c r="L404" i="3"/>
  <c r="O404" i="3" s="1"/>
  <c r="I417" i="3"/>
  <c r="P503" i="3"/>
  <c r="M502" i="3"/>
  <c r="P502" i="3" s="1"/>
  <c r="K176" i="3"/>
  <c r="I174" i="3"/>
  <c r="P299" i="3"/>
  <c r="N404" i="3"/>
  <c r="N402" i="3" s="1"/>
  <c r="P424" i="3"/>
  <c r="K651" i="3"/>
  <c r="I628" i="3"/>
  <c r="K628" i="3" s="1"/>
  <c r="N754" i="3"/>
  <c r="O787" i="3"/>
  <c r="L786" i="3"/>
  <c r="O786" i="3" s="1"/>
  <c r="N279" i="3"/>
  <c r="L300" i="3"/>
  <c r="N347" i="3"/>
  <c r="O353" i="3"/>
  <c r="L405" i="3"/>
  <c r="O405" i="3" s="1"/>
  <c r="O407" i="3"/>
  <c r="K435" i="3"/>
  <c r="K538" i="3"/>
  <c r="N544" i="3"/>
  <c r="K593" i="3"/>
  <c r="I785" i="3"/>
  <c r="K785" i="3" s="1"/>
  <c r="K800" i="3"/>
  <c r="O535" i="3"/>
  <c r="L533" i="3"/>
  <c r="O533" i="3" s="1"/>
  <c r="L525" i="3"/>
  <c r="L547" i="3"/>
  <c r="O547" i="3" s="1"/>
  <c r="O549" i="3"/>
  <c r="K674" i="3"/>
  <c r="K673" i="3"/>
  <c r="K669" i="3"/>
  <c r="K672" i="3"/>
  <c r="P806" i="3"/>
  <c r="M805" i="3"/>
  <c r="P805" i="3" s="1"/>
  <c r="P549" i="3"/>
  <c r="M546" i="3"/>
  <c r="P546" i="3" s="1"/>
  <c r="N632" i="3"/>
  <c r="O634" i="3"/>
  <c r="I654" i="3"/>
  <c r="K654" i="3" s="1"/>
  <c r="J364" i="3"/>
  <c r="N658" i="3"/>
  <c r="O690" i="3"/>
  <c r="L687" i="3"/>
  <c r="M690" i="3"/>
  <c r="L688" i="3"/>
  <c r="O688" i="3" s="1"/>
  <c r="N805" i="3"/>
  <c r="K594" i="3"/>
  <c r="P657" i="3"/>
  <c r="M655" i="3"/>
  <c r="P655" i="3" s="1"/>
  <c r="K442" i="3"/>
  <c r="P545" i="3"/>
  <c r="O557" i="3"/>
  <c r="O656" i="3"/>
  <c r="L658" i="3"/>
  <c r="O658" i="3" s="1"/>
  <c r="M786" i="3"/>
  <c r="P786" i="3" s="1"/>
  <c r="L422" i="3"/>
  <c r="O422" i="3" s="1"/>
  <c r="L429" i="3"/>
  <c r="O429" i="3" s="1"/>
  <c r="M171" i="1"/>
  <c r="P171" i="1" s="1"/>
  <c r="K360" i="1"/>
  <c r="J722" i="1"/>
  <c r="K722" i="1" s="1"/>
  <c r="K801" i="1"/>
  <c r="M43" i="2"/>
  <c r="M41" i="2" s="1"/>
  <c r="P93" i="2"/>
  <c r="M168" i="2"/>
  <c r="P168" i="2" s="1"/>
  <c r="M167" i="2"/>
  <c r="M165" i="2" s="1"/>
  <c r="N263" i="2"/>
  <c r="N261" i="2" s="1"/>
  <c r="L334" i="2"/>
  <c r="O334" i="2" s="1"/>
  <c r="M404" i="2"/>
  <c r="P404" i="2" s="1"/>
  <c r="L454" i="2"/>
  <c r="O454" i="2" s="1"/>
  <c r="K462" i="2"/>
  <c r="O549" i="2"/>
  <c r="M660" i="2"/>
  <c r="M658" i="2" s="1"/>
  <c r="P658" i="2" s="1"/>
  <c r="O690" i="2"/>
  <c r="K726" i="1"/>
  <c r="L47" i="2"/>
  <c r="O47" i="2" s="1"/>
  <c r="P58" i="2"/>
  <c r="O170" i="2"/>
  <c r="L230" i="2"/>
  <c r="M334" i="2"/>
  <c r="P334" i="2" s="1"/>
  <c r="K372" i="2"/>
  <c r="J537" i="2"/>
  <c r="J522" i="2" s="1"/>
  <c r="K522" i="2" s="1"/>
  <c r="L687" i="2"/>
  <c r="L685" i="2" s="1"/>
  <c r="O685" i="2" s="1"/>
  <c r="L283" i="1"/>
  <c r="O283" i="1" s="1"/>
  <c r="N528" i="1"/>
  <c r="P528" i="1" s="1"/>
  <c r="L59" i="2"/>
  <c r="O59" i="2" s="1"/>
  <c r="P137" i="2"/>
  <c r="M187" i="2"/>
  <c r="P187" i="2" s="1"/>
  <c r="I216" i="2"/>
  <c r="K216" i="2" s="1"/>
  <c r="M44" i="1"/>
  <c r="O46" i="1"/>
  <c r="N317" i="1"/>
  <c r="N315" i="1" s="1"/>
  <c r="O323" i="1"/>
  <c r="O353" i="1"/>
  <c r="O71" i="2"/>
  <c r="L198" i="2"/>
  <c r="O198" i="2" s="1"/>
  <c r="L209" i="2"/>
  <c r="O209" i="2" s="1"/>
  <c r="O266" i="2"/>
  <c r="K340" i="2"/>
  <c r="M395" i="2"/>
  <c r="P395" i="2" s="1"/>
  <c r="M424" i="2"/>
  <c r="M421" i="2" s="1"/>
  <c r="K576" i="2"/>
  <c r="J235" i="1"/>
  <c r="P323" i="1"/>
  <c r="O58" i="2"/>
  <c r="I112" i="2"/>
  <c r="K112" i="2" s="1"/>
  <c r="N121" i="2"/>
  <c r="N119" i="2" s="1"/>
  <c r="L152" i="2"/>
  <c r="O152" i="2" s="1"/>
  <c r="L155" i="2"/>
  <c r="O155" i="2" s="1"/>
  <c r="L167" i="2"/>
  <c r="L165" i="2" s="1"/>
  <c r="L249" i="2"/>
  <c r="O249" i="2" s="1"/>
  <c r="L300" i="2"/>
  <c r="O300" i="2" s="1"/>
  <c r="L422" i="2"/>
  <c r="O422" i="2" s="1"/>
  <c r="K822" i="2"/>
  <c r="K825" i="2"/>
  <c r="K828" i="2"/>
  <c r="K225" i="1"/>
  <c r="N229" i="1"/>
  <c r="J226" i="1"/>
  <c r="J180" i="1" s="1"/>
  <c r="L300" i="1"/>
  <c r="L298" i="1" s="1"/>
  <c r="J583" i="1"/>
  <c r="J577" i="1" s="1"/>
  <c r="K577" i="1" s="1"/>
  <c r="I785" i="1"/>
  <c r="L72" i="2"/>
  <c r="O72" i="2" s="1"/>
  <c r="N90" i="2"/>
  <c r="N88" i="2" s="1"/>
  <c r="M94" i="2"/>
  <c r="P94" i="2" s="1"/>
  <c r="K99" i="2"/>
  <c r="M134" i="2"/>
  <c r="P134" i="2" s="1"/>
  <c r="L138" i="2"/>
  <c r="O138" i="2" s="1"/>
  <c r="M171" i="2"/>
  <c r="P171" i="2" s="1"/>
  <c r="K176" i="2"/>
  <c r="N183" i="2"/>
  <c r="N181" i="2" s="1"/>
  <c r="N348" i="2"/>
  <c r="O348" i="2" s="1"/>
  <c r="O350" i="2"/>
  <c r="L404" i="2"/>
  <c r="O404" i="2" s="1"/>
  <c r="O410" i="2"/>
  <c r="K538" i="2"/>
  <c r="N134" i="1"/>
  <c r="N132" i="1" s="1"/>
  <c r="M279" i="1"/>
  <c r="M277" i="1" s="1"/>
  <c r="J785" i="1"/>
  <c r="K821" i="1"/>
  <c r="K824" i="1"/>
  <c r="K827" i="1"/>
  <c r="P49" i="2"/>
  <c r="I76" i="2"/>
  <c r="I64" i="2" s="1"/>
  <c r="K64" i="2" s="1"/>
  <c r="O140" i="2"/>
  <c r="I148" i="2"/>
  <c r="K148" i="2" s="1"/>
  <c r="L168" i="2"/>
  <c r="O168" i="2" s="1"/>
  <c r="O173" i="2"/>
  <c r="L264" i="2"/>
  <c r="O264" i="2" s="1"/>
  <c r="M317" i="2"/>
  <c r="M315" i="2" s="1"/>
  <c r="L351" i="2"/>
  <c r="O351" i="2" s="1"/>
  <c r="N392" i="2"/>
  <c r="L395" i="2"/>
  <c r="O395" i="2" s="1"/>
  <c r="L632" i="2"/>
  <c r="O632" i="2" s="1"/>
  <c r="L657" i="2"/>
  <c r="O657" i="2" s="1"/>
  <c r="K223" i="1"/>
  <c r="N238" i="1"/>
  <c r="L228" i="1"/>
  <c r="N55" i="2"/>
  <c r="N53" i="2" s="1"/>
  <c r="N68" i="2"/>
  <c r="N66" i="2" s="1"/>
  <c r="L122" i="2"/>
  <c r="O122" i="2" s="1"/>
  <c r="P140" i="2"/>
  <c r="O154" i="2"/>
  <c r="P173" i="2"/>
  <c r="P282" i="2"/>
  <c r="L301" i="2"/>
  <c r="O301" i="2" s="1"/>
  <c r="I314" i="2"/>
  <c r="K314" i="2" s="1"/>
  <c r="P353" i="2"/>
  <c r="L526" i="2"/>
  <c r="L525" i="2"/>
  <c r="O525" i="2" s="1"/>
  <c r="O535" i="2"/>
  <c r="L546" i="2"/>
  <c r="O557" i="2"/>
  <c r="K673" i="2"/>
  <c r="K674" i="2"/>
  <c r="N228" i="1"/>
  <c r="N231" i="1"/>
  <c r="J236" i="1"/>
  <c r="K276" i="1"/>
  <c r="I364" i="1"/>
  <c r="K700" i="1"/>
  <c r="N151" i="2"/>
  <c r="N149" i="2" s="1"/>
  <c r="L217" i="2"/>
  <c r="O217" i="2" s="1"/>
  <c r="I276" i="2"/>
  <c r="K276" i="2" s="1"/>
  <c r="L347" i="2"/>
  <c r="K593" i="2"/>
  <c r="I592" i="2"/>
  <c r="K592" i="2" s="1"/>
  <c r="O269" i="2"/>
  <c r="L267" i="2"/>
  <c r="O267" i="2" s="1"/>
  <c r="K369" i="2"/>
  <c r="K379" i="2"/>
  <c r="M632" i="2"/>
  <c r="P634" i="2"/>
  <c r="M631" i="2"/>
  <c r="M629" i="2" s="1"/>
  <c r="I248" i="1"/>
  <c r="K248" i="1" s="1"/>
  <c r="K674" i="1"/>
  <c r="M55" i="2"/>
  <c r="M53" i="2" s="1"/>
  <c r="M59" i="2"/>
  <c r="P59" i="2" s="1"/>
  <c r="K115" i="2"/>
  <c r="O186" i="2"/>
  <c r="I190" i="2"/>
  <c r="K190" i="2" s="1"/>
  <c r="L317" i="2"/>
  <c r="L315" i="2" s="1"/>
  <c r="L321" i="2"/>
  <c r="O321" i="2" s="1"/>
  <c r="M526" i="2"/>
  <c r="P528" i="2"/>
  <c r="M525" i="2"/>
  <c r="M523" i="2" s="1"/>
  <c r="M330" i="2"/>
  <c r="K359" i="2"/>
  <c r="K647" i="2"/>
  <c r="K654" i="2"/>
  <c r="K700" i="2"/>
  <c r="K823" i="2"/>
  <c r="K826" i="2"/>
  <c r="P351" i="2"/>
  <c r="K628" i="2"/>
  <c r="K309" i="1"/>
  <c r="O42" i="2"/>
  <c r="M72" i="2"/>
  <c r="P72" i="2" s="1"/>
  <c r="P74" i="2"/>
  <c r="M26" i="2"/>
  <c r="M24" i="2" s="1"/>
  <c r="M68" i="2"/>
  <c r="P68" i="2" s="1"/>
  <c r="O96" i="2"/>
  <c r="L26" i="2"/>
  <c r="L94" i="2"/>
  <c r="O94" i="2" s="1"/>
  <c r="K145" i="2"/>
  <c r="I143" i="2"/>
  <c r="N447" i="2"/>
  <c r="N446" i="2"/>
  <c r="N444" i="2" s="1"/>
  <c r="N33" i="2"/>
  <c r="P32" i="2"/>
  <c r="M29" i="2"/>
  <c r="M12" i="2"/>
  <c r="L183" i="1"/>
  <c r="L181" i="1" s="1"/>
  <c r="I77" i="2"/>
  <c r="N23" i="2"/>
  <c r="N44" i="2"/>
  <c r="O44" i="2" s="1"/>
  <c r="O46" i="2"/>
  <c r="N43" i="2"/>
  <c r="K207" i="1"/>
  <c r="P137" i="1"/>
  <c r="K145" i="1"/>
  <c r="L301" i="1"/>
  <c r="O19" i="2"/>
  <c r="N657" i="2"/>
  <c r="N658" i="2"/>
  <c r="L304" i="1"/>
  <c r="O304" i="1" s="1"/>
  <c r="P36" i="2"/>
  <c r="M34" i="2"/>
  <c r="P34" i="2" s="1"/>
  <c r="O54" i="2"/>
  <c r="L90" i="2"/>
  <c r="M122" i="2"/>
  <c r="P122" i="2" s="1"/>
  <c r="P124" i="2"/>
  <c r="M121" i="2"/>
  <c r="P121" i="2" s="1"/>
  <c r="M23" i="2"/>
  <c r="N405" i="2"/>
  <c r="N404" i="2"/>
  <c r="N402" i="2" s="1"/>
  <c r="M526" i="1"/>
  <c r="M525" i="1"/>
  <c r="M523" i="1" s="1"/>
  <c r="I143" i="1"/>
  <c r="K143" i="1" s="1"/>
  <c r="O191" i="1"/>
  <c r="L217" i="1"/>
  <c r="N15" i="2"/>
  <c r="N9" i="2" s="1"/>
  <c r="L29" i="2"/>
  <c r="O35" i="2"/>
  <c r="L15" i="2"/>
  <c r="O120" i="2"/>
  <c r="K255" i="2"/>
  <c r="I248" i="2"/>
  <c r="I233" i="2"/>
  <c r="K233" i="2" s="1"/>
  <c r="K325" i="1"/>
  <c r="K340" i="1"/>
  <c r="L421" i="1"/>
  <c r="L419" i="1" s="1"/>
  <c r="K462" i="1"/>
  <c r="K541" i="1"/>
  <c r="J582" i="1"/>
  <c r="J576" i="1" s="1"/>
  <c r="L12" i="2"/>
  <c r="M125" i="2"/>
  <c r="P125" i="2" s="1"/>
  <c r="P127" i="2"/>
  <c r="O150" i="2"/>
  <c r="M152" i="2"/>
  <c r="P152" i="2" s="1"/>
  <c r="P154" i="2"/>
  <c r="O262" i="2"/>
  <c r="M264" i="2"/>
  <c r="P264" i="2" s="1"/>
  <c r="P266" i="2"/>
  <c r="O320" i="2"/>
  <c r="N317" i="2"/>
  <c r="N318" i="2"/>
  <c r="O318" i="2" s="1"/>
  <c r="O420" i="2"/>
  <c r="O656" i="2"/>
  <c r="K369" i="1"/>
  <c r="K372" i="1"/>
  <c r="J569" i="1"/>
  <c r="K569" i="1" s="1"/>
  <c r="K649" i="1"/>
  <c r="K670" i="1"/>
  <c r="K828" i="1"/>
  <c r="L23" i="2"/>
  <c r="P46" i="2"/>
  <c r="N134" i="2"/>
  <c r="N132" i="2" s="1"/>
  <c r="M155" i="2"/>
  <c r="P155" i="2" s="1"/>
  <c r="P157" i="2"/>
  <c r="L238" i="2"/>
  <c r="L229" i="2"/>
  <c r="M267" i="2"/>
  <c r="P267" i="2" s="1"/>
  <c r="P269" i="2"/>
  <c r="L280" i="2"/>
  <c r="O280" i="2" s="1"/>
  <c r="O282" i="2"/>
  <c r="O299" i="2"/>
  <c r="M301" i="2"/>
  <c r="P301" i="2" s="1"/>
  <c r="P303" i="2"/>
  <c r="K365" i="2"/>
  <c r="J364" i="2"/>
  <c r="N404" i="1"/>
  <c r="N402" i="1" s="1"/>
  <c r="P133" i="2"/>
  <c r="L283" i="2"/>
  <c r="O283" i="2" s="1"/>
  <c r="O285" i="2"/>
  <c r="K288" i="2"/>
  <c r="J275" i="2"/>
  <c r="M304" i="2"/>
  <c r="P304" i="2" s="1"/>
  <c r="P306" i="2"/>
  <c r="P316" i="2"/>
  <c r="M347" i="2"/>
  <c r="P350" i="2"/>
  <c r="M408" i="2"/>
  <c r="P408" i="2" s="1"/>
  <c r="P410" i="2"/>
  <c r="K312" i="1"/>
  <c r="K370" i="1"/>
  <c r="I401" i="1"/>
  <c r="K401" i="1" s="1"/>
  <c r="N634" i="1"/>
  <c r="N632" i="1" s="1"/>
  <c r="O632" i="1" s="1"/>
  <c r="K644" i="1"/>
  <c r="K647" i="1"/>
  <c r="N690" i="1"/>
  <c r="N687" i="1" s="1"/>
  <c r="N685" i="1" s="1"/>
  <c r="K720" i="1"/>
  <c r="J729" i="1"/>
  <c r="K729" i="1" s="1"/>
  <c r="N26" i="2"/>
  <c r="N16" i="2" s="1"/>
  <c r="P54" i="2"/>
  <c r="P56" i="2"/>
  <c r="P71" i="2"/>
  <c r="K100" i="2"/>
  <c r="O184" i="2"/>
  <c r="I297" i="2"/>
  <c r="K297" i="2" s="1"/>
  <c r="O333" i="2"/>
  <c r="L330" i="2"/>
  <c r="K355" i="2"/>
  <c r="O403" i="2"/>
  <c r="L477" i="2"/>
  <c r="O477" i="2" s="1"/>
  <c r="L469" i="2"/>
  <c r="O479" i="2"/>
  <c r="M546" i="2"/>
  <c r="M547" i="2"/>
  <c r="P547" i="2" s="1"/>
  <c r="P549" i="2"/>
  <c r="P25" i="2"/>
  <c r="M15" i="2"/>
  <c r="L55" i="2"/>
  <c r="L53" i="2" s="1"/>
  <c r="K87" i="2"/>
  <c r="I86" i="2"/>
  <c r="K86" i="2" s="1"/>
  <c r="K98" i="2"/>
  <c r="K144" i="2"/>
  <c r="J143" i="2"/>
  <c r="J131" i="2" s="1"/>
  <c r="I164" i="2"/>
  <c r="K164" i="2" s="1"/>
  <c r="P278" i="2"/>
  <c r="J327" i="2"/>
  <c r="K327" i="2" s="1"/>
  <c r="P394" i="2"/>
  <c r="M391" i="2"/>
  <c r="J433" i="2"/>
  <c r="J417" i="2" s="1"/>
  <c r="K435" i="2"/>
  <c r="I433" i="2"/>
  <c r="L447" i="2"/>
  <c r="M449" i="2"/>
  <c r="L446" i="2"/>
  <c r="O446" i="2" s="1"/>
  <c r="O449" i="2"/>
  <c r="O472" i="2"/>
  <c r="N469" i="2"/>
  <c r="N467" i="2" s="1"/>
  <c r="N470" i="2"/>
  <c r="K362" i="2"/>
  <c r="P407" i="2"/>
  <c r="O634" i="2"/>
  <c r="N631" i="2"/>
  <c r="N632" i="2"/>
  <c r="K651" i="2"/>
  <c r="O658" i="2"/>
  <c r="P755" i="2"/>
  <c r="M754" i="2"/>
  <c r="P754" i="2" s="1"/>
  <c r="P807" i="2"/>
  <c r="M805" i="2"/>
  <c r="P805" i="2" s="1"/>
  <c r="P320" i="2"/>
  <c r="I434" i="2"/>
  <c r="L502" i="2"/>
  <c r="O502" i="2" s="1"/>
  <c r="N502" i="2"/>
  <c r="K559" i="2"/>
  <c r="I543" i="2"/>
  <c r="K543" i="2" s="1"/>
  <c r="I785" i="2"/>
  <c r="K785" i="2" s="1"/>
  <c r="K800" i="2"/>
  <c r="O806" i="2"/>
  <c r="L805" i="2"/>
  <c r="O805" i="2" s="1"/>
  <c r="N422" i="2"/>
  <c r="O424" i="2"/>
  <c r="O528" i="2"/>
  <c r="N525" i="2"/>
  <c r="N526" i="2"/>
  <c r="K577" i="2"/>
  <c r="K594" i="2"/>
  <c r="P738" i="2"/>
  <c r="M737" i="2"/>
  <c r="P737" i="2" s="1"/>
  <c r="P771" i="2"/>
  <c r="M770" i="2"/>
  <c r="P770" i="2" s="1"/>
  <c r="P788" i="2"/>
  <c r="M786" i="2"/>
  <c r="P786" i="2" s="1"/>
  <c r="N655" i="2"/>
  <c r="P686" i="2"/>
  <c r="M687" i="2"/>
  <c r="P687" i="2" s="1"/>
  <c r="M688" i="2"/>
  <c r="P688" i="2" s="1"/>
  <c r="O787" i="2"/>
  <c r="L547" i="2"/>
  <c r="O547" i="2" s="1"/>
  <c r="L631" i="2"/>
  <c r="L629" i="2" s="1"/>
  <c r="L639" i="2"/>
  <c r="O639" i="2" s="1"/>
  <c r="K675" i="2"/>
  <c r="O791" i="2"/>
  <c r="O660" i="2"/>
  <c r="K672" i="2"/>
  <c r="L688" i="2"/>
  <c r="O688" i="2" s="1"/>
  <c r="K669" i="2"/>
  <c r="M72" i="1"/>
  <c r="P72" i="1" s="1"/>
  <c r="M151" i="1"/>
  <c r="M149" i="1" s="1"/>
  <c r="M446" i="1"/>
  <c r="M444" i="1" s="1"/>
  <c r="N26" i="1"/>
  <c r="N24" i="1" s="1"/>
  <c r="P58" i="1"/>
  <c r="K113" i="1"/>
  <c r="M121" i="1"/>
  <c r="M119" i="1" s="1"/>
  <c r="N183" i="1"/>
  <c r="N181" i="1" s="1"/>
  <c r="N198" i="1"/>
  <c r="M283" i="1"/>
  <c r="P283" i="1" s="1"/>
  <c r="P285" i="1"/>
  <c r="J679" i="1"/>
  <c r="J678" i="1" s="1"/>
  <c r="K699" i="1"/>
  <c r="K728" i="1"/>
  <c r="K823" i="1"/>
  <c r="K826" i="1"/>
  <c r="I216" i="1"/>
  <c r="K216" i="1" s="1"/>
  <c r="I76" i="1"/>
  <c r="I64" i="1" s="1"/>
  <c r="N90" i="1"/>
  <c r="N88" i="1" s="1"/>
  <c r="N121" i="1"/>
  <c r="N119" i="1" s="1"/>
  <c r="O127" i="1"/>
  <c r="P140" i="1"/>
  <c r="L184" i="1"/>
  <c r="K214" i="1"/>
  <c r="J233" i="1"/>
  <c r="K271" i="1"/>
  <c r="K287" i="1"/>
  <c r="K291" i="1"/>
  <c r="K297" i="1"/>
  <c r="I388" i="1"/>
  <c r="K388" i="1" s="1"/>
  <c r="M391" i="1"/>
  <c r="M389" i="1" s="1"/>
  <c r="P389" i="1" s="1"/>
  <c r="M395" i="1"/>
  <c r="P395" i="1" s="1"/>
  <c r="N391" i="1"/>
  <c r="N389" i="1" s="1"/>
  <c r="K463" i="1"/>
  <c r="M26" i="1"/>
  <c r="N55" i="1"/>
  <c r="N53" i="1" s="1"/>
  <c r="O282" i="1"/>
  <c r="N395" i="1"/>
  <c r="P410" i="1"/>
  <c r="J595" i="1"/>
  <c r="J603" i="1"/>
  <c r="M688" i="1"/>
  <c r="K487" i="1"/>
  <c r="I77" i="1"/>
  <c r="I65" i="1" s="1"/>
  <c r="K114" i="1"/>
  <c r="L151" i="1"/>
  <c r="L149" i="1" s="1"/>
  <c r="L230" i="1"/>
  <c r="N249" i="1"/>
  <c r="K288" i="1"/>
  <c r="K293" i="1"/>
  <c r="K310" i="1"/>
  <c r="M330" i="1"/>
  <c r="M328" i="1" s="1"/>
  <c r="N347" i="1"/>
  <c r="N345" i="1" s="1"/>
  <c r="L351" i="1"/>
  <c r="O351" i="1" s="1"/>
  <c r="K379" i="1"/>
  <c r="M421" i="1"/>
  <c r="M419" i="1" s="1"/>
  <c r="K437" i="1"/>
  <c r="K440" i="1"/>
  <c r="O456" i="1"/>
  <c r="K485" i="1"/>
  <c r="J596" i="1"/>
  <c r="J675" i="1"/>
  <c r="J669" i="1" s="1"/>
  <c r="J654" i="1" s="1"/>
  <c r="K654" i="1" s="1"/>
  <c r="P152" i="1"/>
  <c r="M685" i="1"/>
  <c r="L134" i="1"/>
  <c r="O320" i="1"/>
  <c r="L318" i="1"/>
  <c r="O318" i="1" s="1"/>
  <c r="L55" i="1"/>
  <c r="L53" i="1" s="1"/>
  <c r="P93" i="1"/>
  <c r="K116" i="1"/>
  <c r="M122" i="1"/>
  <c r="P122" i="1" s="1"/>
  <c r="L155" i="1"/>
  <c r="O155" i="1" s="1"/>
  <c r="K204" i="1"/>
  <c r="L231" i="1"/>
  <c r="I236" i="1"/>
  <c r="P269" i="1"/>
  <c r="M267" i="1"/>
  <c r="P267" i="1" s="1"/>
  <c r="L404" i="1"/>
  <c r="O404" i="1" s="1"/>
  <c r="M90" i="1"/>
  <c r="M88" i="1" s="1"/>
  <c r="M167" i="1"/>
  <c r="O269" i="1"/>
  <c r="L263" i="1"/>
  <c r="L261" i="1" s="1"/>
  <c r="L267" i="1"/>
  <c r="O267" i="1" s="1"/>
  <c r="M300" i="1"/>
  <c r="M298" i="1" s="1"/>
  <c r="P306" i="1"/>
  <c r="M331" i="1"/>
  <c r="P331" i="1" s="1"/>
  <c r="P333" i="1"/>
  <c r="P353" i="1"/>
  <c r="M351" i="1"/>
  <c r="P351" i="1" s="1"/>
  <c r="L43" i="1"/>
  <c r="L41" i="1" s="1"/>
  <c r="L56" i="1"/>
  <c r="O56" i="1" s="1"/>
  <c r="M43" i="1"/>
  <c r="M41" i="1" s="1"/>
  <c r="M56" i="1"/>
  <c r="P56" i="1" s="1"/>
  <c r="P61" i="1"/>
  <c r="M94" i="1"/>
  <c r="P94" i="1" s="1"/>
  <c r="K102" i="1"/>
  <c r="K106" i="1"/>
  <c r="K110" i="1"/>
  <c r="N122" i="1"/>
  <c r="P124" i="1"/>
  <c r="M135" i="1"/>
  <c r="P135" i="1" s="1"/>
  <c r="K144" i="1"/>
  <c r="M155" i="1"/>
  <c r="P155" i="1" s="1"/>
  <c r="M165" i="1"/>
  <c r="L171" i="1"/>
  <c r="O171" i="1" s="1"/>
  <c r="J164" i="1"/>
  <c r="J197" i="1"/>
  <c r="K197" i="1" s="1"/>
  <c r="M304" i="1"/>
  <c r="P304" i="1" s="1"/>
  <c r="L317" i="1"/>
  <c r="N330" i="1"/>
  <c r="N328" i="1" s="1"/>
  <c r="K374" i="1"/>
  <c r="M404" i="1"/>
  <c r="P407" i="1"/>
  <c r="M405" i="1"/>
  <c r="P405" i="1" s="1"/>
  <c r="K460" i="1"/>
  <c r="I442" i="1"/>
  <c r="K442" i="1" s="1"/>
  <c r="M632" i="1"/>
  <c r="M631" i="1"/>
  <c r="M629" i="1" s="1"/>
  <c r="K98" i="1"/>
  <c r="O137" i="1"/>
  <c r="M187" i="1"/>
  <c r="P187" i="1" s="1"/>
  <c r="P189" i="1"/>
  <c r="M47" i="1"/>
  <c r="P47" i="1" s="1"/>
  <c r="P49" i="1"/>
  <c r="P59" i="1"/>
  <c r="M68" i="1"/>
  <c r="M66" i="1" s="1"/>
  <c r="N23" i="1"/>
  <c r="J76" i="1"/>
  <c r="J64" i="1" s="1"/>
  <c r="J77" i="1"/>
  <c r="J65" i="1" s="1"/>
  <c r="M138" i="1"/>
  <c r="P138" i="1" s="1"/>
  <c r="N151" i="1"/>
  <c r="O154" i="1"/>
  <c r="N184" i="1"/>
  <c r="P184" i="1" s="1"/>
  <c r="O186" i="1"/>
  <c r="O336" i="1"/>
  <c r="L330" i="1"/>
  <c r="N424" i="1"/>
  <c r="P424" i="1" s="1"/>
  <c r="L125" i="1"/>
  <c r="O125" i="1" s="1"/>
  <c r="K435" i="1"/>
  <c r="I433" i="1"/>
  <c r="L36" i="1"/>
  <c r="M55" i="1"/>
  <c r="K79" i="1"/>
  <c r="K82" i="1"/>
  <c r="I86" i="1"/>
  <c r="K86" i="1" s="1"/>
  <c r="J112" i="1"/>
  <c r="L121" i="1"/>
  <c r="L119" i="1" s="1"/>
  <c r="L152" i="1"/>
  <c r="O152" i="1" s="1"/>
  <c r="P154" i="1"/>
  <c r="L167" i="1"/>
  <c r="L165" i="1" s="1"/>
  <c r="L187" i="1"/>
  <c r="O187" i="1" s="1"/>
  <c r="K246" i="1"/>
  <c r="I235" i="1"/>
  <c r="P334" i="1"/>
  <c r="L209" i="1"/>
  <c r="K464" i="1"/>
  <c r="K483" i="1"/>
  <c r="K538" i="1"/>
  <c r="J620" i="1"/>
  <c r="K620" i="1" s="1"/>
  <c r="K643" i="1"/>
  <c r="J701" i="1"/>
  <c r="K701" i="1" s="1"/>
  <c r="M788" i="1"/>
  <c r="M786" i="1" s="1"/>
  <c r="K803" i="1"/>
  <c r="K206" i="1"/>
  <c r="N217" i="1"/>
  <c r="L249" i="1"/>
  <c r="O249" i="1" s="1"/>
  <c r="K260" i="1"/>
  <c r="K359" i="1"/>
  <c r="K362" i="1"/>
  <c r="K365" i="1"/>
  <c r="N472" i="1"/>
  <c r="P472" i="1" s="1"/>
  <c r="K492" i="1"/>
  <c r="J466" i="1"/>
  <c r="K466" i="1" s="1"/>
  <c r="J604" i="1"/>
  <c r="L657" i="1"/>
  <c r="L655" i="1" s="1"/>
  <c r="N660" i="1"/>
  <c r="N658" i="1" s="1"/>
  <c r="O658" i="1" s="1"/>
  <c r="L687" i="1"/>
  <c r="L685" i="1" s="1"/>
  <c r="J708" i="1"/>
  <c r="K708" i="1" s="1"/>
  <c r="L198" i="1"/>
  <c r="L238" i="1"/>
  <c r="K244" i="1"/>
  <c r="L280" i="1"/>
  <c r="I314" i="1"/>
  <c r="K314" i="1" s="1"/>
  <c r="O350" i="1"/>
  <c r="K355" i="1"/>
  <c r="K671" i="1"/>
  <c r="K822" i="1"/>
  <c r="K825" i="1"/>
  <c r="J194" i="1"/>
  <c r="N209" i="1"/>
  <c r="O266" i="1"/>
  <c r="K290" i="1"/>
  <c r="K294" i="1"/>
  <c r="O333" i="1"/>
  <c r="J327" i="1"/>
  <c r="K327" i="1" s="1"/>
  <c r="L347" i="1"/>
  <c r="P348" i="1"/>
  <c r="K385" i="1"/>
  <c r="P394" i="1"/>
  <c r="I434" i="1"/>
  <c r="I418" i="1" s="1"/>
  <c r="I443" i="1"/>
  <c r="K443" i="1" s="1"/>
  <c r="K495" i="1"/>
  <c r="K542" i="1"/>
  <c r="N549" i="1"/>
  <c r="N547" i="1" s="1"/>
  <c r="O547" i="1" s="1"/>
  <c r="J621" i="1"/>
  <c r="K621" i="1" s="1"/>
  <c r="K723" i="1"/>
  <c r="J721" i="1"/>
  <c r="K721" i="1" s="1"/>
  <c r="P12" i="1"/>
  <c r="O15" i="1"/>
  <c r="L59" i="1"/>
  <c r="O59" i="1" s="1"/>
  <c r="L68" i="1"/>
  <c r="O71" i="1"/>
  <c r="L12" i="1"/>
  <c r="M15" i="1"/>
  <c r="P22" i="1"/>
  <c r="L29" i="1"/>
  <c r="L44" i="1"/>
  <c r="L23" i="1"/>
  <c r="O49" i="1"/>
  <c r="O61" i="1"/>
  <c r="K80" i="1"/>
  <c r="K83" i="1"/>
  <c r="O93" i="1"/>
  <c r="K87" i="1"/>
  <c r="K103" i="1"/>
  <c r="K107" i="1"/>
  <c r="K118" i="1"/>
  <c r="O120" i="1"/>
  <c r="N267" i="1"/>
  <c r="N263" i="1"/>
  <c r="M19" i="1"/>
  <c r="N68" i="1"/>
  <c r="J111" i="1"/>
  <c r="K111" i="1" s="1"/>
  <c r="K146" i="1"/>
  <c r="I130" i="1"/>
  <c r="K130" i="1" s="1"/>
  <c r="M318" i="1"/>
  <c r="P318" i="1" s="1"/>
  <c r="P320" i="1"/>
  <c r="M317" i="1"/>
  <c r="M23" i="1"/>
  <c r="M21" i="1" s="1"/>
  <c r="M29" i="1"/>
  <c r="P35" i="1"/>
  <c r="L90" i="1"/>
  <c r="N9" i="1"/>
  <c r="P46" i="1"/>
  <c r="N44" i="1"/>
  <c r="O74" i="1"/>
  <c r="K78" i="1"/>
  <c r="K81" i="1"/>
  <c r="K84" i="1"/>
  <c r="O96" i="1"/>
  <c r="K104" i="1"/>
  <c r="K109" i="1"/>
  <c r="K115" i="1"/>
  <c r="K176" i="1"/>
  <c r="I174" i="1"/>
  <c r="L229" i="1"/>
  <c r="I233" i="1"/>
  <c r="I237" i="1"/>
  <c r="N283" i="1"/>
  <c r="N279" i="1"/>
  <c r="N301" i="1"/>
  <c r="P301" i="1" s="1"/>
  <c r="P303" i="1"/>
  <c r="N300" i="1"/>
  <c r="O316" i="1"/>
  <c r="L47" i="1"/>
  <c r="O47" i="1" s="1"/>
  <c r="L26" i="1"/>
  <c r="N168" i="1"/>
  <c r="O168" i="1" s="1"/>
  <c r="P170" i="1"/>
  <c r="N167" i="1"/>
  <c r="P71" i="1"/>
  <c r="N69" i="1"/>
  <c r="O69" i="1" s="1"/>
  <c r="N43" i="1"/>
  <c r="N230" i="1"/>
  <c r="L770" i="1"/>
  <c r="O770" i="1" s="1"/>
  <c r="O771" i="1"/>
  <c r="L789" i="1"/>
  <c r="O394" i="1"/>
  <c r="L391" i="1"/>
  <c r="O391" i="1" s="1"/>
  <c r="L392" i="1"/>
  <c r="O392" i="1" s="1"/>
  <c r="J434" i="1"/>
  <c r="J418" i="1" s="1"/>
  <c r="K438" i="1"/>
  <c r="L33" i="1"/>
  <c r="N91" i="1"/>
  <c r="O91" i="1" s="1"/>
  <c r="O124" i="1"/>
  <c r="O133" i="1"/>
  <c r="O135" i="1"/>
  <c r="O140" i="1"/>
  <c r="P166" i="1"/>
  <c r="N264" i="1"/>
  <c r="P264" i="1" s="1"/>
  <c r="P266" i="1"/>
  <c r="I275" i="1"/>
  <c r="K275" i="1" s="1"/>
  <c r="O303" i="1"/>
  <c r="O329" i="1"/>
  <c r="P336" i="1"/>
  <c r="L470" i="1"/>
  <c r="L469" i="1"/>
  <c r="L467" i="1" s="1"/>
  <c r="M547" i="1"/>
  <c r="M546" i="1"/>
  <c r="M544" i="1" s="1"/>
  <c r="N757" i="1"/>
  <c r="L788" i="1"/>
  <c r="P350" i="1"/>
  <c r="O397" i="1"/>
  <c r="L395" i="1"/>
  <c r="O395" i="1" s="1"/>
  <c r="K498" i="1"/>
  <c r="J628" i="1"/>
  <c r="K628" i="1" s="1"/>
  <c r="K651" i="1"/>
  <c r="P656" i="1"/>
  <c r="K99" i="1"/>
  <c r="O138" i="1"/>
  <c r="O170" i="1"/>
  <c r="J190" i="1"/>
  <c r="K190" i="1" s="1"/>
  <c r="K193" i="1"/>
  <c r="K258" i="1"/>
  <c r="K247" i="1"/>
  <c r="N280" i="1"/>
  <c r="P280" i="1" s="1"/>
  <c r="P282" i="1"/>
  <c r="J364" i="1"/>
  <c r="O407" i="1"/>
  <c r="L405" i="1"/>
  <c r="O405" i="1" s="1"/>
  <c r="I522" i="1"/>
  <c r="K522" i="1" s="1"/>
  <c r="K537" i="1"/>
  <c r="M658" i="1"/>
  <c r="M657" i="1"/>
  <c r="M754" i="1"/>
  <c r="P754" i="1" s="1"/>
  <c r="P756" i="1"/>
  <c r="M134" i="1"/>
  <c r="I148" i="1"/>
  <c r="K148" i="1" s="1"/>
  <c r="M183" i="1"/>
  <c r="P186" i="1"/>
  <c r="K215" i="1"/>
  <c r="I208" i="1"/>
  <c r="K208" i="1" s="1"/>
  <c r="P278" i="1"/>
  <c r="M347" i="1"/>
  <c r="O410" i="1"/>
  <c r="L408" i="1"/>
  <c r="O408" i="1" s="1"/>
  <c r="I543" i="1"/>
  <c r="P329" i="1"/>
  <c r="L331" i="1"/>
  <c r="O331" i="1" s="1"/>
  <c r="L334" i="1"/>
  <c r="O334" i="1" s="1"/>
  <c r="P346" i="1"/>
  <c r="L348" i="1"/>
  <c r="O348" i="1" s="1"/>
  <c r="N504" i="1"/>
  <c r="N502" i="1" s="1"/>
  <c r="L525" i="1"/>
  <c r="O535" i="1"/>
  <c r="P555" i="1"/>
  <c r="J568" i="1"/>
  <c r="K568" i="1" s="1"/>
  <c r="L631" i="1"/>
  <c r="L639" i="1"/>
  <c r="O639" i="1" s="1"/>
  <c r="N740" i="1"/>
  <c r="L754" i="1"/>
  <c r="O754" i="1" s="1"/>
  <c r="O755" i="1"/>
  <c r="K439" i="1"/>
  <c r="M502" i="1"/>
  <c r="P502" i="1" s="1"/>
  <c r="M770" i="1"/>
  <c r="P770" i="1" s="1"/>
  <c r="P772" i="1"/>
  <c r="N791" i="1"/>
  <c r="O791" i="1" s="1"/>
  <c r="N449" i="1"/>
  <c r="O449" i="1" s="1"/>
  <c r="P503" i="1"/>
  <c r="L555" i="1"/>
  <c r="O555" i="1" s="1"/>
  <c r="O557" i="1"/>
  <c r="L546" i="1"/>
  <c r="J560" i="1"/>
  <c r="K560" i="1" s="1"/>
  <c r="M737" i="1"/>
  <c r="P737" i="1" s="1"/>
  <c r="P739" i="1"/>
  <c r="L429" i="1"/>
  <c r="O429" i="1" s="1"/>
  <c r="O431" i="1"/>
  <c r="L446" i="1"/>
  <c r="O468" i="1"/>
  <c r="M470" i="1"/>
  <c r="O479" i="1"/>
  <c r="J465" i="1"/>
  <c r="K465" i="1" s="1"/>
  <c r="K489" i="1"/>
  <c r="J561" i="1"/>
  <c r="K561" i="1" s="1"/>
  <c r="P630" i="1"/>
  <c r="O686" i="1"/>
  <c r="K725" i="1"/>
  <c r="L737" i="1"/>
  <c r="O737" i="1" s="1"/>
  <c r="O738" i="1"/>
  <c r="N773" i="1"/>
  <c r="K673" i="1"/>
  <c r="M805" i="1"/>
  <c r="P805" i="1" s="1"/>
  <c r="K672" i="1"/>
  <c r="L315" i="18" l="1"/>
  <c r="O315" i="18" s="1"/>
  <c r="L655" i="20"/>
  <c r="O655" i="20" s="1"/>
  <c r="P300" i="21"/>
  <c r="O168" i="21"/>
  <c r="O330" i="21"/>
  <c r="N328" i="21"/>
  <c r="O328" i="21" s="1"/>
  <c r="O279" i="17"/>
  <c r="K417" i="21"/>
  <c r="L544" i="18"/>
  <c r="O544" i="18" s="1"/>
  <c r="K364" i="15"/>
  <c r="L315" i="19"/>
  <c r="O315" i="19" s="1"/>
  <c r="L277" i="17"/>
  <c r="O277" i="17" s="1"/>
  <c r="L34" i="21"/>
  <c r="O34" i="21" s="1"/>
  <c r="P279" i="17"/>
  <c r="O68" i="19"/>
  <c r="M277" i="17"/>
  <c r="O446" i="19"/>
  <c r="K364" i="18"/>
  <c r="L132" i="21"/>
  <c r="O132" i="21" s="1"/>
  <c r="P467" i="21"/>
  <c r="I64" i="14"/>
  <c r="K64" i="14" s="1"/>
  <c r="P55" i="20"/>
  <c r="K417" i="18"/>
  <c r="P449" i="19"/>
  <c r="O68" i="20"/>
  <c r="I226" i="19"/>
  <c r="K226" i="19" s="1"/>
  <c r="M470" i="21"/>
  <c r="P470" i="21" s="1"/>
  <c r="M447" i="13"/>
  <c r="P447" i="13" s="1"/>
  <c r="P317" i="18"/>
  <c r="K417" i="16"/>
  <c r="L132" i="14"/>
  <c r="O132" i="14" s="1"/>
  <c r="O631" i="20"/>
  <c r="L389" i="18"/>
  <c r="O389" i="18" s="1"/>
  <c r="N66" i="20"/>
  <c r="P66" i="20" s="1"/>
  <c r="P183" i="21"/>
  <c r="K433" i="18"/>
  <c r="O167" i="19"/>
  <c r="M688" i="20"/>
  <c r="P688" i="20" s="1"/>
  <c r="P469" i="21"/>
  <c r="M685" i="20"/>
  <c r="P685" i="20" s="1"/>
  <c r="M149" i="21"/>
  <c r="P149" i="21" s="1"/>
  <c r="O183" i="17"/>
  <c r="L629" i="18"/>
  <c r="O629" i="18" s="1"/>
  <c r="K654" i="19"/>
  <c r="K364" i="19"/>
  <c r="K434" i="20"/>
  <c r="K364" i="20"/>
  <c r="O151" i="21"/>
  <c r="O300" i="21"/>
  <c r="L119" i="20"/>
  <c r="O119" i="20" s="1"/>
  <c r="O347" i="20"/>
  <c r="P472" i="21"/>
  <c r="O277" i="21"/>
  <c r="O90" i="19"/>
  <c r="M16" i="21"/>
  <c r="M14" i="21" s="1"/>
  <c r="O56" i="20"/>
  <c r="O55" i="21"/>
  <c r="L786" i="17"/>
  <c r="O786" i="17" s="1"/>
  <c r="P279" i="20"/>
  <c r="P424" i="20"/>
  <c r="K785" i="21"/>
  <c r="O167" i="21"/>
  <c r="O56" i="15"/>
  <c r="M315" i="21"/>
  <c r="P315" i="21" s="1"/>
  <c r="P90" i="21"/>
  <c r="P331" i="20"/>
  <c r="O470" i="18"/>
  <c r="O330" i="20"/>
  <c r="O421" i="21"/>
  <c r="P184" i="18"/>
  <c r="P264" i="20"/>
  <c r="O183" i="18"/>
  <c r="O261" i="21"/>
  <c r="P66" i="21"/>
  <c r="L685" i="19"/>
  <c r="O685" i="19" s="1"/>
  <c r="M402" i="20"/>
  <c r="P402" i="20" s="1"/>
  <c r="P301" i="20"/>
  <c r="P68" i="20"/>
  <c r="M389" i="21"/>
  <c r="P389" i="21" s="1"/>
  <c r="L315" i="21"/>
  <c r="O315" i="21" s="1"/>
  <c r="L132" i="20"/>
  <c r="O132" i="20" s="1"/>
  <c r="K76" i="20"/>
  <c r="K76" i="21"/>
  <c r="P279" i="21"/>
  <c r="L30" i="20"/>
  <c r="O30" i="20" s="1"/>
  <c r="O279" i="21"/>
  <c r="P165" i="21"/>
  <c r="P68" i="21"/>
  <c r="L467" i="21"/>
  <c r="O467" i="21" s="1"/>
  <c r="P68" i="9"/>
  <c r="P90" i="18"/>
  <c r="O68" i="21"/>
  <c r="O280" i="21"/>
  <c r="P167" i="21"/>
  <c r="P328" i="20"/>
  <c r="P183" i="9"/>
  <c r="P167" i="13"/>
  <c r="P151" i="15"/>
  <c r="M277" i="19"/>
  <c r="P277" i="19" s="1"/>
  <c r="P43" i="19"/>
  <c r="O183" i="19"/>
  <c r="O330" i="19"/>
  <c r="O300" i="20"/>
  <c r="M277" i="20"/>
  <c r="P277" i="20" s="1"/>
  <c r="O43" i="21"/>
  <c r="L298" i="21"/>
  <c r="O298" i="21" s="1"/>
  <c r="K174" i="11"/>
  <c r="L16" i="16"/>
  <c r="L14" i="16" s="1"/>
  <c r="L544" i="20"/>
  <c r="O544" i="20" s="1"/>
  <c r="O525" i="20"/>
  <c r="O546" i="21"/>
  <c r="M298" i="18"/>
  <c r="P298" i="18" s="1"/>
  <c r="O279" i="19"/>
  <c r="P183" i="20"/>
  <c r="L31" i="20"/>
  <c r="O31" i="20" s="1"/>
  <c r="P330" i="20"/>
  <c r="L389" i="21"/>
  <c r="O389" i="21" s="1"/>
  <c r="O41" i="21"/>
  <c r="P330" i="21"/>
  <c r="O66" i="15"/>
  <c r="K77" i="18"/>
  <c r="P181" i="19"/>
  <c r="L786" i="20"/>
  <c r="O786" i="20" s="1"/>
  <c r="O263" i="20"/>
  <c r="L13" i="21"/>
  <c r="L11" i="21" s="1"/>
  <c r="K785" i="18"/>
  <c r="O261" i="19"/>
  <c r="K174" i="21"/>
  <c r="P41" i="21"/>
  <c r="P345" i="21"/>
  <c r="O421" i="16"/>
  <c r="M685" i="16"/>
  <c r="P685" i="16" s="1"/>
  <c r="N13" i="16"/>
  <c r="N11" i="16" s="1"/>
  <c r="M298" i="21"/>
  <c r="P298" i="21" s="1"/>
  <c r="K364" i="14"/>
  <c r="M88" i="21"/>
  <c r="P88" i="21" s="1"/>
  <c r="P184" i="21"/>
  <c r="P43" i="21"/>
  <c r="P404" i="21"/>
  <c r="M402" i="21"/>
  <c r="P402" i="21" s="1"/>
  <c r="P151" i="12"/>
  <c r="P263" i="21"/>
  <c r="P261" i="21"/>
  <c r="P347" i="21"/>
  <c r="K131" i="17"/>
  <c r="P549" i="19"/>
  <c r="P167" i="20"/>
  <c r="L66" i="21"/>
  <c r="O66" i="21" s="1"/>
  <c r="K785" i="13"/>
  <c r="O121" i="14"/>
  <c r="P469" i="18"/>
  <c r="N88" i="18"/>
  <c r="P88" i="18" s="1"/>
  <c r="M419" i="21"/>
  <c r="P419" i="21" s="1"/>
  <c r="O404" i="21"/>
  <c r="L402" i="21"/>
  <c r="O402" i="21" s="1"/>
  <c r="K364" i="12"/>
  <c r="O279" i="20"/>
  <c r="O331" i="21"/>
  <c r="N24" i="21"/>
  <c r="P24" i="21" s="1"/>
  <c r="O21" i="21"/>
  <c r="L629" i="21"/>
  <c r="O629" i="21" s="1"/>
  <c r="O263" i="21"/>
  <c r="M149" i="9"/>
  <c r="P149" i="9" s="1"/>
  <c r="O300" i="14"/>
  <c r="O90" i="15"/>
  <c r="L34" i="17"/>
  <c r="O34" i="17" s="1"/>
  <c r="M119" i="20"/>
  <c r="P119" i="20" s="1"/>
  <c r="L389" i="20"/>
  <c r="O389" i="20" s="1"/>
  <c r="N14" i="21"/>
  <c r="L53" i="21"/>
  <c r="O53" i="21" s="1"/>
  <c r="P345" i="15"/>
  <c r="P151" i="17"/>
  <c r="L13" i="18"/>
  <c r="L11" i="18" s="1"/>
  <c r="P91" i="21"/>
  <c r="O33" i="20"/>
  <c r="M421" i="20"/>
  <c r="M419" i="20" s="1"/>
  <c r="K143" i="21"/>
  <c r="I131" i="21"/>
  <c r="K131" i="21" s="1"/>
  <c r="L165" i="21"/>
  <c r="O165" i="21" s="1"/>
  <c r="P55" i="21"/>
  <c r="M53" i="21"/>
  <c r="O238" i="21"/>
  <c r="L227" i="21"/>
  <c r="P9" i="21"/>
  <c r="M119" i="21"/>
  <c r="P119" i="21" s="1"/>
  <c r="P121" i="21"/>
  <c r="O277" i="20"/>
  <c r="M181" i="21"/>
  <c r="P181" i="21" s="1"/>
  <c r="P26" i="21"/>
  <c r="O788" i="21"/>
  <c r="L786" i="21"/>
  <c r="O786" i="21" s="1"/>
  <c r="I65" i="21"/>
  <c r="K65" i="21" s="1"/>
  <c r="K77" i="21"/>
  <c r="K288" i="21"/>
  <c r="O29" i="21"/>
  <c r="L444" i="21"/>
  <c r="O446" i="21"/>
  <c r="O657" i="21"/>
  <c r="L655" i="21"/>
  <c r="O655" i="21" s="1"/>
  <c r="P660" i="21"/>
  <c r="M657" i="21"/>
  <c r="M658" i="21"/>
  <c r="P658" i="21" s="1"/>
  <c r="O15" i="21"/>
  <c r="P134" i="21"/>
  <c r="M132" i="21"/>
  <c r="P132" i="21" s="1"/>
  <c r="P29" i="21"/>
  <c r="P23" i="21"/>
  <c r="M20" i="21"/>
  <c r="M18" i="21" s="1"/>
  <c r="P449" i="21"/>
  <c r="M446" i="21"/>
  <c r="M447" i="21"/>
  <c r="P447" i="21" s="1"/>
  <c r="M33" i="21"/>
  <c r="P347" i="19"/>
  <c r="O328" i="19"/>
  <c r="O261" i="20"/>
  <c r="P348" i="20"/>
  <c r="L34" i="20"/>
  <c r="O34" i="20" s="1"/>
  <c r="M631" i="21"/>
  <c r="M632" i="21"/>
  <c r="P632" i="21" s="1"/>
  <c r="P634" i="21"/>
  <c r="P791" i="21"/>
  <c r="M788" i="21"/>
  <c r="M789" i="21"/>
  <c r="P789" i="21" s="1"/>
  <c r="J364" i="21"/>
  <c r="K364" i="21" s="1"/>
  <c r="K365" i="21"/>
  <c r="K433" i="21"/>
  <c r="O347" i="21"/>
  <c r="L345" i="21"/>
  <c r="O345" i="21" s="1"/>
  <c r="L9" i="21"/>
  <c r="O121" i="21"/>
  <c r="L119" i="21"/>
  <c r="O119" i="21" s="1"/>
  <c r="P19" i="21"/>
  <c r="P277" i="21"/>
  <c r="O263" i="15"/>
  <c r="O688" i="18"/>
  <c r="P330" i="18"/>
  <c r="M16" i="20"/>
  <c r="P16" i="20" s="1"/>
  <c r="M688" i="21"/>
  <c r="P688" i="21" s="1"/>
  <c r="P690" i="21"/>
  <c r="M687" i="21"/>
  <c r="O348" i="21"/>
  <c r="M544" i="21"/>
  <c r="N544" i="21"/>
  <c r="O544" i="21" s="1"/>
  <c r="O90" i="21"/>
  <c r="L88" i="21"/>
  <c r="O88" i="21" s="1"/>
  <c r="M21" i="21"/>
  <c r="P21" i="21" s="1"/>
  <c r="L16" i="21"/>
  <c r="O16" i="21" s="1"/>
  <c r="O26" i="21"/>
  <c r="L24" i="21"/>
  <c r="N20" i="21"/>
  <c r="N18" i="21" s="1"/>
  <c r="N13" i="21"/>
  <c r="N10" i="21" s="1"/>
  <c r="O183" i="21"/>
  <c r="L181" i="21"/>
  <c r="O181" i="21" s="1"/>
  <c r="P15" i="21"/>
  <c r="L20" i="21"/>
  <c r="P690" i="20"/>
  <c r="K288" i="20"/>
  <c r="K237" i="21"/>
  <c r="I226" i="21"/>
  <c r="N9" i="21"/>
  <c r="K434" i="21"/>
  <c r="I418" i="21"/>
  <c r="K418" i="21" s="1"/>
  <c r="L523" i="21"/>
  <c r="O523" i="21" s="1"/>
  <c r="O33" i="21"/>
  <c r="L31" i="21"/>
  <c r="O31" i="21" s="1"/>
  <c r="L30" i="21"/>
  <c r="O30" i="21" s="1"/>
  <c r="O23" i="21"/>
  <c r="O331" i="17"/>
  <c r="L30" i="17"/>
  <c r="O30" i="17" s="1"/>
  <c r="L298" i="19"/>
  <c r="O298" i="19" s="1"/>
  <c r="O631" i="19"/>
  <c r="L227" i="19"/>
  <c r="L315" i="20"/>
  <c r="O315" i="20" s="1"/>
  <c r="P44" i="20"/>
  <c r="P26" i="20"/>
  <c r="N261" i="15"/>
  <c r="O261" i="15" s="1"/>
  <c r="O90" i="16"/>
  <c r="P68" i="17"/>
  <c r="P331" i="17"/>
  <c r="P88" i="20"/>
  <c r="L419" i="14"/>
  <c r="O419" i="14" s="1"/>
  <c r="O631" i="16"/>
  <c r="O43" i="16"/>
  <c r="P347" i="17"/>
  <c r="M547" i="19"/>
  <c r="P547" i="19" s="1"/>
  <c r="P55" i="19"/>
  <c r="P183" i="19"/>
  <c r="P134" i="19"/>
  <c r="L345" i="20"/>
  <c r="O345" i="20" s="1"/>
  <c r="O56" i="17"/>
  <c r="P690" i="18"/>
  <c r="O263" i="19"/>
  <c r="M24" i="19"/>
  <c r="I418" i="19"/>
  <c r="K418" i="19" s="1"/>
  <c r="O404" i="20"/>
  <c r="L402" i="20"/>
  <c r="O402" i="20" s="1"/>
  <c r="L467" i="20"/>
  <c r="O467" i="20" s="1"/>
  <c r="O469" i="20"/>
  <c r="L402" i="16"/>
  <c r="O402" i="16" s="1"/>
  <c r="O26" i="20"/>
  <c r="L16" i="20"/>
  <c r="L24" i="20"/>
  <c r="P449" i="20"/>
  <c r="M446" i="20"/>
  <c r="L328" i="20"/>
  <c r="O328" i="20" s="1"/>
  <c r="N298" i="20"/>
  <c r="O298" i="20" s="1"/>
  <c r="M389" i="20"/>
  <c r="P389" i="20" s="1"/>
  <c r="P391" i="20"/>
  <c r="M446" i="19"/>
  <c r="P446" i="19" s="1"/>
  <c r="M544" i="20"/>
  <c r="P544" i="20" s="1"/>
  <c r="K433" i="20"/>
  <c r="P280" i="20"/>
  <c r="N24" i="20"/>
  <c r="M165" i="20"/>
  <c r="P165" i="20" s="1"/>
  <c r="L227" i="20"/>
  <c r="O41" i="20"/>
  <c r="P41" i="20"/>
  <c r="L16" i="17"/>
  <c r="L14" i="17" s="1"/>
  <c r="K417" i="20"/>
  <c r="O167" i="20"/>
  <c r="L165" i="20"/>
  <c r="O165" i="20" s="1"/>
  <c r="P152" i="20"/>
  <c r="O152" i="20"/>
  <c r="P134" i="20"/>
  <c r="M132" i="20"/>
  <c r="P132" i="20" s="1"/>
  <c r="P15" i="20"/>
  <c r="O9" i="20"/>
  <c r="O55" i="20"/>
  <c r="P263" i="20"/>
  <c r="M261" i="20"/>
  <c r="P261" i="20" s="1"/>
  <c r="P317" i="20"/>
  <c r="M315" i="20"/>
  <c r="P315" i="20" s="1"/>
  <c r="L227" i="18"/>
  <c r="M470" i="20"/>
  <c r="P470" i="20" s="1"/>
  <c r="P472" i="20"/>
  <c r="M469" i="20"/>
  <c r="M33" i="20"/>
  <c r="M13" i="20" s="1"/>
  <c r="N419" i="20"/>
  <c r="I180" i="20"/>
  <c r="K180" i="20" s="1"/>
  <c r="K226" i="20"/>
  <c r="P149" i="20"/>
  <c r="N13" i="20"/>
  <c r="N21" i="20"/>
  <c r="O21" i="20" s="1"/>
  <c r="N20" i="20"/>
  <c r="N18" i="20" s="1"/>
  <c r="P151" i="20"/>
  <c r="M20" i="20"/>
  <c r="P23" i="20"/>
  <c r="L34" i="18"/>
  <c r="O34" i="18" s="1"/>
  <c r="P447" i="20"/>
  <c r="I164" i="20"/>
  <c r="K164" i="20" s="1"/>
  <c r="K174" i="20"/>
  <c r="O183" i="20"/>
  <c r="L181" i="20"/>
  <c r="O181" i="20" s="1"/>
  <c r="M181" i="20"/>
  <c r="P181" i="20" s="1"/>
  <c r="P90" i="20"/>
  <c r="O90" i="20"/>
  <c r="L88" i="20"/>
  <c r="P29" i="20"/>
  <c r="N53" i="20"/>
  <c r="O53" i="20" s="1"/>
  <c r="P328" i="15"/>
  <c r="P345" i="16"/>
  <c r="I65" i="19"/>
  <c r="K65" i="19" s="1"/>
  <c r="O446" i="20"/>
  <c r="L444" i="20"/>
  <c r="O444" i="20" s="1"/>
  <c r="M345" i="20"/>
  <c r="P345" i="20" s="1"/>
  <c r="P347" i="20"/>
  <c r="P300" i="20"/>
  <c r="M298" i="20"/>
  <c r="O149" i="20"/>
  <c r="O29" i="20"/>
  <c r="P43" i="20"/>
  <c r="O43" i="20"/>
  <c r="M9" i="20"/>
  <c r="L30" i="18"/>
  <c r="O30" i="18" s="1"/>
  <c r="M685" i="19"/>
  <c r="P685" i="19" s="1"/>
  <c r="N53" i="19"/>
  <c r="P53" i="19" s="1"/>
  <c r="M315" i="19"/>
  <c r="P315" i="19" s="1"/>
  <c r="K417" i="19"/>
  <c r="L685" i="20"/>
  <c r="O685" i="20" s="1"/>
  <c r="O687" i="20"/>
  <c r="L419" i="20"/>
  <c r="M629" i="20"/>
  <c r="P629" i="20" s="1"/>
  <c r="P631" i="20"/>
  <c r="I65" i="20"/>
  <c r="K65" i="20" s="1"/>
  <c r="K77" i="20"/>
  <c r="O151" i="20"/>
  <c r="O23" i="20"/>
  <c r="L20" i="20"/>
  <c r="L13" i="20"/>
  <c r="K143" i="20"/>
  <c r="I131" i="20"/>
  <c r="K131" i="20" s="1"/>
  <c r="O44" i="20"/>
  <c r="I226" i="14"/>
  <c r="K226" i="14" s="1"/>
  <c r="L389" i="17"/>
  <c r="O389" i="17" s="1"/>
  <c r="M402" i="17"/>
  <c r="P402" i="17" s="1"/>
  <c r="M632" i="18"/>
  <c r="P632" i="18" s="1"/>
  <c r="P347" i="18"/>
  <c r="K275" i="18"/>
  <c r="P168" i="18"/>
  <c r="L544" i="19"/>
  <c r="O544" i="19" s="1"/>
  <c r="O121" i="19"/>
  <c r="O168" i="19"/>
  <c r="O165" i="16"/>
  <c r="P424" i="18"/>
  <c r="P263" i="19"/>
  <c r="M419" i="18"/>
  <c r="P419" i="18" s="1"/>
  <c r="O53" i="17"/>
  <c r="P300" i="14"/>
  <c r="P181" i="15"/>
  <c r="O55" i="17"/>
  <c r="O33" i="18"/>
  <c r="O168" i="18"/>
  <c r="N149" i="15"/>
  <c r="P149" i="15" s="1"/>
  <c r="O280" i="16"/>
  <c r="P53" i="17"/>
  <c r="O263" i="17"/>
  <c r="M629" i="18"/>
  <c r="P629" i="18" s="1"/>
  <c r="M422" i="18"/>
  <c r="P422" i="18" s="1"/>
  <c r="P634" i="18"/>
  <c r="L181" i="19"/>
  <c r="O181" i="19" s="1"/>
  <c r="P26" i="19"/>
  <c r="L132" i="19"/>
  <c r="O132" i="19" s="1"/>
  <c r="O134" i="19"/>
  <c r="P68" i="19"/>
  <c r="N21" i="19"/>
  <c r="O21" i="19" s="1"/>
  <c r="N13" i="19"/>
  <c r="N11" i="19" s="1"/>
  <c r="N41" i="19"/>
  <c r="P41" i="19" s="1"/>
  <c r="K76" i="19"/>
  <c r="I64" i="19"/>
  <c r="K64" i="19" s="1"/>
  <c r="L467" i="19"/>
  <c r="O467" i="19" s="1"/>
  <c r="O469" i="19"/>
  <c r="M119" i="14"/>
  <c r="P119" i="14" s="1"/>
  <c r="P301" i="15"/>
  <c r="L165" i="17"/>
  <c r="O165" i="17" s="1"/>
  <c r="L30" i="16"/>
  <c r="L28" i="16" s="1"/>
  <c r="O28" i="16" s="1"/>
  <c r="P263" i="17"/>
  <c r="M687" i="18"/>
  <c r="P687" i="18" s="1"/>
  <c r="L419" i="18"/>
  <c r="O419" i="18" s="1"/>
  <c r="L655" i="18"/>
  <c r="O655" i="18" s="1"/>
  <c r="L34" i="19"/>
  <c r="O34" i="19" s="1"/>
  <c r="L227" i="17"/>
  <c r="P91" i="17"/>
  <c r="P631" i="19"/>
  <c r="M629" i="19"/>
  <c r="P629" i="19" s="1"/>
  <c r="L149" i="4"/>
  <c r="O149" i="4" s="1"/>
  <c r="O298" i="14"/>
  <c r="P55" i="15"/>
  <c r="L31" i="17"/>
  <c r="O31" i="17" s="1"/>
  <c r="I226" i="18"/>
  <c r="K226" i="18" s="1"/>
  <c r="P469" i="19"/>
  <c r="M467" i="19"/>
  <c r="P467" i="19" s="1"/>
  <c r="P404" i="19"/>
  <c r="M402" i="19"/>
  <c r="P402" i="19" s="1"/>
  <c r="L41" i="19"/>
  <c r="O43" i="19"/>
  <c r="P19" i="19"/>
  <c r="P264" i="19"/>
  <c r="O26" i="19"/>
  <c r="L16" i="19"/>
  <c r="L24" i="19"/>
  <c r="K288" i="16"/>
  <c r="M119" i="17"/>
  <c r="P119" i="17" s="1"/>
  <c r="L685" i="18"/>
  <c r="O685" i="18" s="1"/>
  <c r="L21" i="18"/>
  <c r="O21" i="18" s="1"/>
  <c r="L402" i="18"/>
  <c r="O402" i="18" s="1"/>
  <c r="L389" i="19"/>
  <c r="O389" i="19" s="1"/>
  <c r="L165" i="19"/>
  <c r="O165" i="19" s="1"/>
  <c r="P121" i="19"/>
  <c r="M119" i="19"/>
  <c r="P119" i="19" s="1"/>
  <c r="L523" i="19"/>
  <c r="O523" i="19" s="1"/>
  <c r="O9" i="19"/>
  <c r="P330" i="19"/>
  <c r="M328" i="19"/>
  <c r="P328" i="19" s="1"/>
  <c r="O132" i="17"/>
  <c r="M261" i="17"/>
  <c r="P261" i="17" s="1"/>
  <c r="O167" i="18"/>
  <c r="O657" i="19"/>
  <c r="L655" i="19"/>
  <c r="O655" i="19" s="1"/>
  <c r="N414" i="19"/>
  <c r="O347" i="19"/>
  <c r="L345" i="19"/>
  <c r="O345" i="19" s="1"/>
  <c r="P424" i="19"/>
  <c r="M421" i="19"/>
  <c r="M422" i="19"/>
  <c r="P422" i="19" s="1"/>
  <c r="M33" i="19"/>
  <c r="M13" i="19" s="1"/>
  <c r="P167" i="19"/>
  <c r="M165" i="19"/>
  <c r="P165" i="19" s="1"/>
  <c r="K143" i="19"/>
  <c r="I131" i="19"/>
  <c r="K131" i="19" s="1"/>
  <c r="P660" i="19"/>
  <c r="M657" i="19"/>
  <c r="M658" i="19"/>
  <c r="P658" i="19" s="1"/>
  <c r="N9" i="19"/>
  <c r="O421" i="19"/>
  <c r="L419" i="19"/>
  <c r="P29" i="19"/>
  <c r="M14" i="19"/>
  <c r="O264" i="11"/>
  <c r="O279" i="15"/>
  <c r="I65" i="16"/>
  <c r="K65" i="16" s="1"/>
  <c r="L629" i="17"/>
  <c r="O629" i="17" s="1"/>
  <c r="M544" i="18"/>
  <c r="P544" i="18" s="1"/>
  <c r="P545" i="19"/>
  <c r="M544" i="19"/>
  <c r="P544" i="19" s="1"/>
  <c r="P261" i="19"/>
  <c r="P300" i="19"/>
  <c r="M298" i="19"/>
  <c r="P298" i="19" s="1"/>
  <c r="L88" i="19"/>
  <c r="O88" i="19" s="1"/>
  <c r="P12" i="19"/>
  <c r="M9" i="19"/>
  <c r="K433" i="19"/>
  <c r="P90" i="19"/>
  <c r="M88" i="19"/>
  <c r="P88" i="19" s="1"/>
  <c r="O55" i="19"/>
  <c r="L53" i="19"/>
  <c r="O33" i="19"/>
  <c r="L30" i="19"/>
  <c r="L31" i="19"/>
  <c r="O31" i="19" s="1"/>
  <c r="M345" i="19"/>
  <c r="P345" i="19" s="1"/>
  <c r="N24" i="19"/>
  <c r="N20" i="19"/>
  <c r="N18" i="19" s="1"/>
  <c r="N16" i="19"/>
  <c r="O331" i="19"/>
  <c r="O56" i="19"/>
  <c r="L149" i="16"/>
  <c r="O149" i="16" s="1"/>
  <c r="L402" i="19"/>
  <c r="O402" i="19" s="1"/>
  <c r="L149" i="19"/>
  <c r="O149" i="19" s="1"/>
  <c r="O151" i="19"/>
  <c r="O23" i="19"/>
  <c r="L20" i="19"/>
  <c r="L13" i="19"/>
  <c r="P391" i="19"/>
  <c r="M389" i="19"/>
  <c r="P389" i="19" s="1"/>
  <c r="M149" i="19"/>
  <c r="P149" i="19" s="1"/>
  <c r="N66" i="19"/>
  <c r="O66" i="19" s="1"/>
  <c r="P23" i="19"/>
  <c r="M20" i="19"/>
  <c r="P277" i="16"/>
  <c r="L31" i="16"/>
  <c r="O31" i="16" s="1"/>
  <c r="L544" i="17"/>
  <c r="O544" i="17" s="1"/>
  <c r="O328" i="17"/>
  <c r="N328" i="18"/>
  <c r="P328" i="18" s="1"/>
  <c r="L655" i="15"/>
  <c r="O655" i="15" s="1"/>
  <c r="L132" i="16"/>
  <c r="O132" i="16" s="1"/>
  <c r="O33" i="16"/>
  <c r="L149" i="17"/>
  <c r="O149" i="17" s="1"/>
  <c r="K434" i="15"/>
  <c r="P328" i="17"/>
  <c r="M20" i="17"/>
  <c r="K275" i="17"/>
  <c r="O68" i="18"/>
  <c r="O330" i="17"/>
  <c r="K143" i="17"/>
  <c r="P330" i="17"/>
  <c r="P263" i="18"/>
  <c r="P119" i="18"/>
  <c r="O90" i="17"/>
  <c r="O788" i="18"/>
  <c r="L786" i="18"/>
  <c r="O786" i="18" s="1"/>
  <c r="K275" i="12"/>
  <c r="P261" i="18"/>
  <c r="O66" i="17"/>
  <c r="O41" i="18"/>
  <c r="O525" i="18"/>
  <c r="L523" i="18"/>
  <c r="O523" i="18" s="1"/>
  <c r="P151" i="18"/>
  <c r="M149" i="18"/>
  <c r="P149" i="18" s="1"/>
  <c r="M165" i="18"/>
  <c r="P165" i="18" s="1"/>
  <c r="P167" i="18"/>
  <c r="K785" i="15"/>
  <c r="L181" i="18"/>
  <c r="O181" i="18" s="1"/>
  <c r="O279" i="18"/>
  <c r="P134" i="18"/>
  <c r="M132" i="18"/>
  <c r="P132" i="18" s="1"/>
  <c r="P280" i="15"/>
  <c r="O467" i="16"/>
  <c r="P167" i="16"/>
  <c r="K76" i="16"/>
  <c r="L261" i="17"/>
  <c r="O261" i="17" s="1"/>
  <c r="L24" i="17"/>
  <c r="P66" i="18"/>
  <c r="P23" i="18"/>
  <c r="M402" i="18"/>
  <c r="P402" i="18" s="1"/>
  <c r="K76" i="18"/>
  <c r="I64" i="18"/>
  <c r="K64" i="18" s="1"/>
  <c r="M655" i="18"/>
  <c r="P655" i="18" s="1"/>
  <c r="P657" i="18"/>
  <c r="O88" i="14"/>
  <c r="P88" i="14"/>
  <c r="O184" i="14"/>
  <c r="O301" i="16"/>
  <c r="K364" i="17"/>
  <c r="L119" i="17"/>
  <c r="O119" i="17" s="1"/>
  <c r="O134" i="17"/>
  <c r="P121" i="18"/>
  <c r="O345" i="18"/>
  <c r="O347" i="18"/>
  <c r="O43" i="18"/>
  <c r="P68" i="18"/>
  <c r="N13" i="18"/>
  <c r="N11" i="18" s="1"/>
  <c r="O300" i="18"/>
  <c r="L298" i="18"/>
  <c r="O298" i="18" s="1"/>
  <c r="P90" i="14"/>
  <c r="P55" i="17"/>
  <c r="M24" i="17"/>
  <c r="M21" i="17"/>
  <c r="P21" i="17" s="1"/>
  <c r="M389" i="18"/>
  <c r="P389" i="18" s="1"/>
  <c r="L132" i="18"/>
  <c r="O132" i="18" s="1"/>
  <c r="O23" i="18"/>
  <c r="P26" i="17"/>
  <c r="M345" i="18"/>
  <c r="P345" i="18" s="1"/>
  <c r="O277" i="18"/>
  <c r="L165" i="18"/>
  <c r="O165" i="18" s="1"/>
  <c r="P21" i="18"/>
  <c r="K288" i="18"/>
  <c r="K174" i="18"/>
  <c r="N414" i="18"/>
  <c r="K288" i="11"/>
  <c r="P165" i="14"/>
  <c r="O90" i="14"/>
  <c r="O88" i="15"/>
  <c r="P277" i="17"/>
  <c r="O345" i="17"/>
  <c r="I418" i="18"/>
  <c r="K418" i="18" s="1"/>
  <c r="K434" i="18"/>
  <c r="L24" i="18"/>
  <c r="L16" i="18"/>
  <c r="O26" i="18"/>
  <c r="O19" i="18"/>
  <c r="N20" i="18"/>
  <c r="N18" i="18" s="1"/>
  <c r="N24" i="18"/>
  <c r="N16" i="18"/>
  <c r="N14" i="18" s="1"/>
  <c r="P467" i="18"/>
  <c r="O469" i="18"/>
  <c r="O66" i="18"/>
  <c r="L261" i="18"/>
  <c r="O261" i="18" s="1"/>
  <c r="O263" i="18"/>
  <c r="L149" i="18"/>
  <c r="O149" i="18" s="1"/>
  <c r="O151" i="18"/>
  <c r="P183" i="18"/>
  <c r="M181" i="18"/>
  <c r="P181" i="18" s="1"/>
  <c r="P15" i="18"/>
  <c r="O15" i="18"/>
  <c r="L181" i="14"/>
  <c r="O181" i="14" s="1"/>
  <c r="L24" i="16"/>
  <c r="N13" i="17"/>
  <c r="N11" i="17" s="1"/>
  <c r="O467" i="18"/>
  <c r="M277" i="18"/>
  <c r="P277" i="18" s="1"/>
  <c r="P279" i="18"/>
  <c r="P12" i="18"/>
  <c r="M9" i="18"/>
  <c r="L20" i="18"/>
  <c r="L389" i="14"/>
  <c r="O389" i="14" s="1"/>
  <c r="N24" i="15"/>
  <c r="O264" i="16"/>
  <c r="O277" i="16"/>
  <c r="M315" i="16"/>
  <c r="P315" i="16" s="1"/>
  <c r="N20" i="17"/>
  <c r="N18" i="17" s="1"/>
  <c r="O55" i="18"/>
  <c r="N53" i="18"/>
  <c r="P53" i="18" s="1"/>
  <c r="P19" i="18"/>
  <c r="P29" i="18"/>
  <c r="M16" i="18"/>
  <c r="M14" i="18" s="1"/>
  <c r="P26" i="18"/>
  <c r="P449" i="18"/>
  <c r="M446" i="18"/>
  <c r="M447" i="18"/>
  <c r="P447" i="18" s="1"/>
  <c r="M33" i="18"/>
  <c r="N9" i="18"/>
  <c r="M24" i="18"/>
  <c r="P791" i="18"/>
  <c r="M788" i="18"/>
  <c r="M789" i="18"/>
  <c r="P789" i="18" s="1"/>
  <c r="L88" i="18"/>
  <c r="O90" i="18"/>
  <c r="P43" i="18"/>
  <c r="M41" i="18"/>
  <c r="L119" i="18"/>
  <c r="O119" i="18" s="1"/>
  <c r="O121" i="18"/>
  <c r="O12" i="18"/>
  <c r="L9" i="18"/>
  <c r="M20" i="18"/>
  <c r="O330" i="18"/>
  <c r="L328" i="18"/>
  <c r="O29" i="18"/>
  <c r="P55" i="18"/>
  <c r="P168" i="15"/>
  <c r="O788" i="15"/>
  <c r="M53" i="15"/>
  <c r="P53" i="15" s="1"/>
  <c r="M629" i="16"/>
  <c r="P629" i="16" s="1"/>
  <c r="O167" i="16"/>
  <c r="P167" i="15"/>
  <c r="O348" i="17"/>
  <c r="L181" i="17"/>
  <c r="O181" i="17" s="1"/>
  <c r="K785" i="16"/>
  <c r="P165" i="15"/>
  <c r="L523" i="17"/>
  <c r="O523" i="17" s="1"/>
  <c r="O165" i="14"/>
  <c r="P279" i="16"/>
  <c r="O68" i="15"/>
  <c r="O43" i="17"/>
  <c r="O36" i="16"/>
  <c r="P134" i="17"/>
  <c r="O687" i="17"/>
  <c r="L685" i="17"/>
  <c r="O685" i="17" s="1"/>
  <c r="O279" i="16"/>
  <c r="O68" i="17"/>
  <c r="P43" i="17"/>
  <c r="P347" i="16"/>
  <c r="O345" i="14"/>
  <c r="I543" i="15"/>
  <c r="K543" i="15" s="1"/>
  <c r="P634" i="16"/>
  <c r="O345" i="16"/>
  <c r="O88" i="17"/>
  <c r="P23" i="17"/>
  <c r="L13" i="17"/>
  <c r="L21" i="17"/>
  <c r="O21" i="17" s="1"/>
  <c r="L20" i="17"/>
  <c r="L18" i="17" s="1"/>
  <c r="O263" i="9"/>
  <c r="M66" i="13"/>
  <c r="P66" i="13" s="1"/>
  <c r="O347" i="14"/>
  <c r="P449" i="15"/>
  <c r="L444" i="15"/>
  <c r="O444" i="15" s="1"/>
  <c r="L34" i="15"/>
  <c r="O34" i="15" s="1"/>
  <c r="L786" i="16"/>
  <c r="O786" i="16" s="1"/>
  <c r="M632" i="16"/>
  <c r="P632" i="16" s="1"/>
  <c r="O55" i="16"/>
  <c r="M66" i="16"/>
  <c r="P66" i="16" s="1"/>
  <c r="P183" i="16"/>
  <c r="P264" i="17"/>
  <c r="O23" i="17"/>
  <c r="M298" i="17"/>
  <c r="P298" i="17" s="1"/>
  <c r="P317" i="17"/>
  <c r="M315" i="17"/>
  <c r="P315" i="17" s="1"/>
  <c r="O469" i="10"/>
  <c r="P168" i="10"/>
  <c r="L149" i="11"/>
  <c r="O149" i="11" s="1"/>
  <c r="O279" i="14"/>
  <c r="O167" i="15"/>
  <c r="P181" i="16"/>
  <c r="L402" i="17"/>
  <c r="O402" i="17" s="1"/>
  <c r="M132" i="17"/>
  <c r="P132" i="17" s="1"/>
  <c r="L315" i="17"/>
  <c r="O315" i="17" s="1"/>
  <c r="O347" i="17"/>
  <c r="K174" i="17"/>
  <c r="I164" i="17"/>
  <c r="K164" i="17" s="1"/>
  <c r="L298" i="17"/>
  <c r="O298" i="17" s="1"/>
  <c r="O300" i="17"/>
  <c r="P424" i="9"/>
  <c r="L389" i="10"/>
  <c r="O389" i="10" s="1"/>
  <c r="O687" i="15"/>
  <c r="L315" i="15"/>
  <c r="O315" i="15" s="1"/>
  <c r="P90" i="15"/>
  <c r="L315" i="16"/>
  <c r="O315" i="16" s="1"/>
  <c r="I418" i="17"/>
  <c r="K418" i="17" s="1"/>
  <c r="P348" i="17"/>
  <c r="O280" i="17"/>
  <c r="M298" i="2"/>
  <c r="P298" i="2" s="1"/>
  <c r="N37" i="17"/>
  <c r="M632" i="17"/>
  <c r="P632" i="17" s="1"/>
  <c r="M631" i="17"/>
  <c r="P183" i="17"/>
  <c r="M181" i="17"/>
  <c r="P181" i="17" s="1"/>
  <c r="P391" i="15"/>
  <c r="P298" i="16"/>
  <c r="P424" i="17"/>
  <c r="M421" i="17"/>
  <c r="M422" i="17"/>
  <c r="P422" i="17" s="1"/>
  <c r="M33" i="17"/>
  <c r="N414" i="17"/>
  <c r="I226" i="17"/>
  <c r="L419" i="17"/>
  <c r="K76" i="17"/>
  <c r="I64" i="17"/>
  <c r="K64" i="17" s="1"/>
  <c r="P167" i="17"/>
  <c r="M165" i="17"/>
  <c r="P165" i="17" s="1"/>
  <c r="P29" i="17"/>
  <c r="O298" i="16"/>
  <c r="I65" i="17"/>
  <c r="K65" i="17" s="1"/>
  <c r="K77" i="17"/>
  <c r="O9" i="17"/>
  <c r="O181" i="16"/>
  <c r="M687" i="17"/>
  <c r="M688" i="17"/>
  <c r="P688" i="17" s="1"/>
  <c r="P690" i="17"/>
  <c r="O469" i="17"/>
  <c r="L467" i="17"/>
  <c r="O467" i="17" s="1"/>
  <c r="P660" i="17"/>
  <c r="M657" i="17"/>
  <c r="M658" i="17"/>
  <c r="P658" i="17" s="1"/>
  <c r="O446" i="17"/>
  <c r="P41" i="17"/>
  <c r="M66" i="17"/>
  <c r="P66" i="17" s="1"/>
  <c r="M14" i="17"/>
  <c r="P149" i="14"/>
  <c r="I164" i="16"/>
  <c r="K164" i="16" s="1"/>
  <c r="M402" i="16"/>
  <c r="P402" i="16" s="1"/>
  <c r="L523" i="16"/>
  <c r="O523" i="16" s="1"/>
  <c r="M446" i="17"/>
  <c r="P449" i="17"/>
  <c r="M447" i="17"/>
  <c r="P447" i="17" s="1"/>
  <c r="P391" i="17"/>
  <c r="M389" i="17"/>
  <c r="P389" i="17" s="1"/>
  <c r="M345" i="17"/>
  <c r="P345" i="17" s="1"/>
  <c r="M9" i="17"/>
  <c r="P12" i="17"/>
  <c r="P347" i="14"/>
  <c r="O41" i="15"/>
  <c r="L66" i="16"/>
  <c r="O66" i="16" s="1"/>
  <c r="P300" i="16"/>
  <c r="K433" i="17"/>
  <c r="I417" i="17"/>
  <c r="K417" i="17" s="1"/>
  <c r="O444" i="17"/>
  <c r="M469" i="17"/>
  <c r="P472" i="17"/>
  <c r="M470" i="17"/>
  <c r="P470" i="17" s="1"/>
  <c r="P351" i="17"/>
  <c r="P90" i="17"/>
  <c r="M88" i="17"/>
  <c r="P88" i="17" s="1"/>
  <c r="N16" i="17"/>
  <c r="P16" i="17" s="1"/>
  <c r="N24" i="17"/>
  <c r="O26" i="17"/>
  <c r="P19" i="17"/>
  <c r="L41" i="17"/>
  <c r="P184" i="14"/>
  <c r="P151" i="14"/>
  <c r="O347" i="15"/>
  <c r="O135" i="15"/>
  <c r="L402" i="15"/>
  <c r="O402" i="15" s="1"/>
  <c r="M467" i="16"/>
  <c r="P467" i="16" s="1"/>
  <c r="O21" i="16"/>
  <c r="O391" i="16"/>
  <c r="L389" i="16"/>
  <c r="O389" i="16" s="1"/>
  <c r="O167" i="11"/>
  <c r="P181" i="11"/>
  <c r="M658" i="13"/>
  <c r="P658" i="13" s="1"/>
  <c r="L467" i="15"/>
  <c r="O467" i="15" s="1"/>
  <c r="P331" i="15"/>
  <c r="N24" i="16"/>
  <c r="P347" i="15"/>
  <c r="L523" i="15"/>
  <c r="O523" i="15" s="1"/>
  <c r="N20" i="16"/>
  <c r="N18" i="16" s="1"/>
  <c r="N14" i="16"/>
  <c r="P167" i="11"/>
  <c r="O328" i="13"/>
  <c r="O347" i="16"/>
  <c r="O657" i="16"/>
  <c r="L655" i="16"/>
  <c r="O655" i="16" s="1"/>
  <c r="P328" i="13"/>
  <c r="L165" i="15"/>
  <c r="O165" i="15" s="1"/>
  <c r="O134" i="15"/>
  <c r="M315" i="15"/>
  <c r="P315" i="15" s="1"/>
  <c r="O469" i="16"/>
  <c r="O183" i="8"/>
  <c r="P446" i="13"/>
  <c r="L685" i="13"/>
  <c r="O685" i="13" s="1"/>
  <c r="P449" i="13"/>
  <c r="O330" i="15"/>
  <c r="K433" i="16"/>
  <c r="P424" i="16"/>
  <c r="M658" i="16"/>
  <c r="P658" i="16" s="1"/>
  <c r="P660" i="16"/>
  <c r="M657" i="16"/>
  <c r="P261" i="16"/>
  <c r="O300" i="16"/>
  <c r="O263" i="11"/>
  <c r="O261" i="13"/>
  <c r="N277" i="14"/>
  <c r="O277" i="14" s="1"/>
  <c r="O328" i="15"/>
  <c r="O421" i="15"/>
  <c r="M422" i="16"/>
  <c r="P422" i="16" s="1"/>
  <c r="O263" i="16"/>
  <c r="P263" i="16"/>
  <c r="P183" i="8"/>
  <c r="O183" i="16"/>
  <c r="M419" i="16"/>
  <c r="P419" i="16" s="1"/>
  <c r="P301" i="14"/>
  <c r="L786" i="14"/>
  <c r="O786" i="14" s="1"/>
  <c r="O298" i="15"/>
  <c r="P330" i="15"/>
  <c r="O300" i="15"/>
  <c r="K365" i="16"/>
  <c r="O261" i="16"/>
  <c r="O26" i="16"/>
  <c r="L444" i="14"/>
  <c r="O444" i="14" s="1"/>
  <c r="K364" i="16"/>
  <c r="P351" i="16"/>
  <c r="L41" i="16"/>
  <c r="O41" i="16" s="1"/>
  <c r="O59" i="16"/>
  <c r="P43" i="16"/>
  <c r="M688" i="12"/>
  <c r="P688" i="12" s="1"/>
  <c r="P280" i="13"/>
  <c r="M315" i="14"/>
  <c r="P315" i="14" s="1"/>
  <c r="P791" i="15"/>
  <c r="P300" i="15"/>
  <c r="P183" i="15"/>
  <c r="O151" i="15"/>
  <c r="M389" i="16"/>
  <c r="P389" i="16" s="1"/>
  <c r="P330" i="16"/>
  <c r="M328" i="16"/>
  <c r="P328" i="16" s="1"/>
  <c r="P19" i="16"/>
  <c r="P121" i="16"/>
  <c r="M119" i="16"/>
  <c r="P119" i="16" s="1"/>
  <c r="P41" i="16"/>
  <c r="L88" i="16"/>
  <c r="O88" i="16" s="1"/>
  <c r="I543" i="16"/>
  <c r="K543" i="16" s="1"/>
  <c r="K559" i="16"/>
  <c r="K237" i="16"/>
  <c r="I226" i="16"/>
  <c r="I418" i="16"/>
  <c r="K418" i="16" s="1"/>
  <c r="K434" i="16"/>
  <c r="O29" i="16"/>
  <c r="P791" i="16"/>
  <c r="M788" i="16"/>
  <c r="M789" i="16"/>
  <c r="P789" i="16" s="1"/>
  <c r="N414" i="16"/>
  <c r="P280" i="16"/>
  <c r="P447" i="15"/>
  <c r="P549" i="16"/>
  <c r="M546" i="16"/>
  <c r="P546" i="16" s="1"/>
  <c r="M547" i="16"/>
  <c r="P547" i="16" s="1"/>
  <c r="P545" i="16"/>
  <c r="M16" i="16"/>
  <c r="P16" i="16" s="1"/>
  <c r="P26" i="16"/>
  <c r="M24" i="16"/>
  <c r="P23" i="16"/>
  <c r="M20" i="16"/>
  <c r="M21" i="16"/>
  <c r="P21" i="16" s="1"/>
  <c r="M165" i="16"/>
  <c r="P165" i="16" s="1"/>
  <c r="O23" i="16"/>
  <c r="L20" i="16"/>
  <c r="L13" i="16"/>
  <c r="L11" i="16" s="1"/>
  <c r="P168" i="13"/>
  <c r="M345" i="14"/>
  <c r="P345" i="14" s="1"/>
  <c r="M789" i="15"/>
  <c r="P789" i="15" s="1"/>
  <c r="M446" i="15"/>
  <c r="O687" i="16"/>
  <c r="L328" i="16"/>
  <c r="O328" i="16" s="1"/>
  <c r="O330" i="16"/>
  <c r="L119" i="16"/>
  <c r="O119" i="16" s="1"/>
  <c r="M88" i="16"/>
  <c r="P88" i="16" s="1"/>
  <c r="P90" i="16"/>
  <c r="I131" i="16"/>
  <c r="K131" i="16" s="1"/>
  <c r="K143" i="16"/>
  <c r="P55" i="16"/>
  <c r="M53" i="16"/>
  <c r="P15" i="16"/>
  <c r="M132" i="16"/>
  <c r="P132" i="16" s="1"/>
  <c r="P134" i="16"/>
  <c r="O12" i="16"/>
  <c r="L9" i="16"/>
  <c r="M149" i="16"/>
  <c r="P149" i="16" s="1"/>
  <c r="P151" i="16"/>
  <c r="O631" i="13"/>
  <c r="P151" i="13"/>
  <c r="I418" i="13"/>
  <c r="K418" i="13" s="1"/>
  <c r="L277" i="15"/>
  <c r="O277" i="15" s="1"/>
  <c r="O688" i="16"/>
  <c r="P449" i="16"/>
  <c r="M447" i="16"/>
  <c r="P447" i="16" s="1"/>
  <c r="M446" i="16"/>
  <c r="M33" i="16"/>
  <c r="M13" i="16" s="1"/>
  <c r="M11" i="16" s="1"/>
  <c r="O685" i="16"/>
  <c r="O238" i="16"/>
  <c r="L227" i="16"/>
  <c r="P12" i="16"/>
  <c r="M9" i="16"/>
  <c r="N9" i="16"/>
  <c r="O419" i="16"/>
  <c r="N53" i="16"/>
  <c r="O88" i="12"/>
  <c r="O348" i="15"/>
  <c r="P351" i="15"/>
  <c r="O43" i="15"/>
  <c r="P149" i="13"/>
  <c r="N20" i="15"/>
  <c r="N18" i="15" s="1"/>
  <c r="O404" i="14"/>
  <c r="O298" i="12"/>
  <c r="L227" i="14"/>
  <c r="P330" i="13"/>
  <c r="L655" i="14"/>
  <c r="O655" i="14" s="1"/>
  <c r="O167" i="12"/>
  <c r="K417" i="15"/>
  <c r="M119" i="15"/>
  <c r="P119" i="15" s="1"/>
  <c r="P121" i="15"/>
  <c r="M470" i="15"/>
  <c r="P470" i="15" s="1"/>
  <c r="M469" i="15"/>
  <c r="L53" i="15"/>
  <c r="O53" i="15" s="1"/>
  <c r="O55" i="15"/>
  <c r="L31" i="15"/>
  <c r="L30" i="15"/>
  <c r="L28" i="15" s="1"/>
  <c r="O183" i="15"/>
  <c r="L181" i="15"/>
  <c r="O181" i="15" s="1"/>
  <c r="K364" i="11"/>
  <c r="P44" i="12"/>
  <c r="L149" i="13"/>
  <c r="O149" i="13" s="1"/>
  <c r="M402" i="15"/>
  <c r="P402" i="15" s="1"/>
  <c r="P298" i="15"/>
  <c r="O132" i="15"/>
  <c r="O44" i="15"/>
  <c r="K433" i="15"/>
  <c r="O546" i="15"/>
  <c r="L24" i="15"/>
  <c r="L16" i="15"/>
  <c r="O26" i="15"/>
  <c r="M547" i="15"/>
  <c r="P547" i="15" s="1"/>
  <c r="P549" i="15"/>
  <c r="M546" i="15"/>
  <c r="I64" i="13"/>
  <c r="K64" i="13" s="1"/>
  <c r="M422" i="13"/>
  <c r="P422" i="13" s="1"/>
  <c r="L119" i="13"/>
  <c r="O119" i="13" s="1"/>
  <c r="O331" i="13"/>
  <c r="O43" i="14"/>
  <c r="P55" i="14"/>
  <c r="O547" i="15"/>
  <c r="O391" i="15"/>
  <c r="N21" i="15"/>
  <c r="P21" i="15" s="1"/>
  <c r="M277" i="15"/>
  <c r="P277" i="15" s="1"/>
  <c r="P279" i="15"/>
  <c r="M261" i="15"/>
  <c r="P263" i="15"/>
  <c r="O121" i="15"/>
  <c r="L119" i="15"/>
  <c r="O119" i="15" s="1"/>
  <c r="L786" i="12"/>
  <c r="O786" i="12" s="1"/>
  <c r="L419" i="13"/>
  <c r="O419" i="13" s="1"/>
  <c r="P55" i="13"/>
  <c r="M298" i="13"/>
  <c r="P298" i="13" s="1"/>
  <c r="M421" i="13"/>
  <c r="P421" i="13" s="1"/>
  <c r="O55" i="14"/>
  <c r="O789" i="15"/>
  <c r="O345" i="15"/>
  <c r="O55" i="12"/>
  <c r="O546" i="13"/>
  <c r="P167" i="14"/>
  <c r="O167" i="14"/>
  <c r="P66" i="14"/>
  <c r="K143" i="15"/>
  <c r="I131" i="15"/>
  <c r="K131" i="15" s="1"/>
  <c r="O469" i="12"/>
  <c r="M315" i="12"/>
  <c r="P315" i="12" s="1"/>
  <c r="O300" i="12"/>
  <c r="O447" i="13"/>
  <c r="O184" i="13"/>
  <c r="P264" i="14"/>
  <c r="O685" i="15"/>
  <c r="K275" i="15"/>
  <c r="P687" i="15"/>
  <c r="M685" i="15"/>
  <c r="P685" i="15" s="1"/>
  <c r="I65" i="15"/>
  <c r="K65" i="15" s="1"/>
  <c r="K77" i="15"/>
  <c r="O447" i="15"/>
  <c r="O19" i="15"/>
  <c r="P26" i="15"/>
  <c r="M16" i="15"/>
  <c r="M24" i="15"/>
  <c r="L165" i="12"/>
  <c r="O165" i="12" s="1"/>
  <c r="K417" i="14"/>
  <c r="O66" i="14"/>
  <c r="I164" i="15"/>
  <c r="K164" i="15" s="1"/>
  <c r="K174" i="15"/>
  <c r="O23" i="15"/>
  <c r="L20" i="15"/>
  <c r="L13" i="15"/>
  <c r="L11" i="15" s="1"/>
  <c r="L21" i="15"/>
  <c r="N31" i="15"/>
  <c r="O33" i="15"/>
  <c r="N30" i="15"/>
  <c r="O12" i="15"/>
  <c r="L9" i="15"/>
  <c r="M88" i="15"/>
  <c r="P88" i="15" s="1"/>
  <c r="P788" i="15"/>
  <c r="M786" i="15"/>
  <c r="P786" i="15" s="1"/>
  <c r="M298" i="14"/>
  <c r="P298" i="14" s="1"/>
  <c r="K433" i="14"/>
  <c r="N13" i="14"/>
  <c r="N10" i="14" s="1"/>
  <c r="O68" i="14"/>
  <c r="P68" i="14"/>
  <c r="M421" i="15"/>
  <c r="P424" i="15"/>
  <c r="M422" i="15"/>
  <c r="P422" i="15" s="1"/>
  <c r="M33" i="15"/>
  <c r="L227" i="15"/>
  <c r="O238" i="15"/>
  <c r="I64" i="15"/>
  <c r="K64" i="15" s="1"/>
  <c r="K76" i="15"/>
  <c r="P19" i="15"/>
  <c r="K237" i="15"/>
  <c r="I226" i="15"/>
  <c r="K288" i="15"/>
  <c r="P261" i="12"/>
  <c r="K364" i="13"/>
  <c r="P91" i="13"/>
  <c r="O44" i="14"/>
  <c r="P23" i="15"/>
  <c r="M20" i="15"/>
  <c r="N13" i="15"/>
  <c r="O330" i="12"/>
  <c r="P634" i="15"/>
  <c r="M631" i="15"/>
  <c r="M632" i="15"/>
  <c r="P632" i="15" s="1"/>
  <c r="P134" i="15"/>
  <c r="M132" i="15"/>
  <c r="P132" i="15" s="1"/>
  <c r="P12" i="15"/>
  <c r="M9" i="15"/>
  <c r="P68" i="15"/>
  <c r="M66" i="15"/>
  <c r="P66" i="15" s="1"/>
  <c r="P43" i="15"/>
  <c r="M41" i="15"/>
  <c r="O55" i="13"/>
  <c r="P261" i="14"/>
  <c r="L467" i="14"/>
  <c r="O467" i="14" s="1"/>
  <c r="M389" i="5"/>
  <c r="P389" i="5" s="1"/>
  <c r="P167" i="9"/>
  <c r="N149" i="12"/>
  <c r="P149" i="12" s="1"/>
  <c r="P300" i="12"/>
  <c r="M24" i="12"/>
  <c r="N21" i="12"/>
  <c r="O263" i="14"/>
  <c r="O33" i="14"/>
  <c r="L34" i="14"/>
  <c r="O34" i="14" s="1"/>
  <c r="L30" i="14"/>
  <c r="K174" i="14"/>
  <c r="I164" i="14"/>
  <c r="K164" i="14" s="1"/>
  <c r="P549" i="11"/>
  <c r="P55" i="12"/>
  <c r="N53" i="14"/>
  <c r="O53" i="14" s="1"/>
  <c r="O330" i="14"/>
  <c r="K288" i="14"/>
  <c r="J275" i="14"/>
  <c r="K275" i="14" s="1"/>
  <c r="O469" i="7"/>
  <c r="K76" i="12"/>
  <c r="P263" i="14"/>
  <c r="P328" i="14"/>
  <c r="O301" i="14"/>
  <c r="L149" i="14"/>
  <c r="O149" i="14" s="1"/>
  <c r="O151" i="14"/>
  <c r="K785" i="7"/>
  <c r="O135" i="11"/>
  <c r="I65" i="12"/>
  <c r="K65" i="12" s="1"/>
  <c r="L30" i="12"/>
  <c r="L28" i="12" s="1"/>
  <c r="O28" i="12" s="1"/>
  <c r="O183" i="12"/>
  <c r="O23" i="13"/>
  <c r="O134" i="13"/>
  <c r="M389" i="14"/>
  <c r="P389" i="14" s="1"/>
  <c r="L328" i="14"/>
  <c r="O328" i="14" s="1"/>
  <c r="N14" i="14"/>
  <c r="O347" i="11"/>
  <c r="O43" i="12"/>
  <c r="L629" i="14"/>
  <c r="O629" i="14" s="1"/>
  <c r="M547" i="14"/>
  <c r="P547" i="14" s="1"/>
  <c r="P549" i="14"/>
  <c r="M546" i="14"/>
  <c r="K434" i="14"/>
  <c r="K77" i="14"/>
  <c r="O261" i="14"/>
  <c r="P279" i="14"/>
  <c r="M277" i="14"/>
  <c r="O525" i="14"/>
  <c r="L523" i="14"/>
  <c r="O523" i="14" s="1"/>
  <c r="M41" i="14"/>
  <c r="P41" i="14" s="1"/>
  <c r="P43" i="14"/>
  <c r="P347" i="11"/>
  <c r="O66" i="12"/>
  <c r="L31" i="12"/>
  <c r="O31" i="12" s="1"/>
  <c r="L419" i="12"/>
  <c r="O419" i="12" s="1"/>
  <c r="P331" i="13"/>
  <c r="P90" i="13"/>
  <c r="O657" i="13"/>
  <c r="M132" i="14"/>
  <c r="P132" i="14" s="1"/>
  <c r="P134" i="14"/>
  <c r="M470" i="14"/>
  <c r="P470" i="14" s="1"/>
  <c r="M469" i="14"/>
  <c r="O317" i="14"/>
  <c r="L315" i="14"/>
  <c r="O315" i="14" s="1"/>
  <c r="L544" i="14"/>
  <c r="O544" i="14" s="1"/>
  <c r="O546" i="14"/>
  <c r="M402" i="14"/>
  <c r="P402" i="14" s="1"/>
  <c r="P404" i="14"/>
  <c r="P330" i="14"/>
  <c r="O68" i="8"/>
  <c r="M422" i="9"/>
  <c r="P422" i="9" s="1"/>
  <c r="P634" i="12"/>
  <c r="O19" i="14"/>
  <c r="P183" i="14"/>
  <c r="M181" i="14"/>
  <c r="O26" i="14"/>
  <c r="L16" i="14"/>
  <c r="L24" i="14"/>
  <c r="M9" i="14"/>
  <c r="P12" i="14"/>
  <c r="K364" i="10"/>
  <c r="I131" i="14"/>
  <c r="K131" i="14" s="1"/>
  <c r="K143" i="14"/>
  <c r="O12" i="14"/>
  <c r="L9" i="14"/>
  <c r="P657" i="14"/>
  <c r="M655" i="14"/>
  <c r="P655" i="14" s="1"/>
  <c r="P26" i="14"/>
  <c r="M16" i="14"/>
  <c r="P19" i="14"/>
  <c r="P183" i="13"/>
  <c r="P134" i="13"/>
  <c r="M447" i="14"/>
  <c r="P447" i="14" s="1"/>
  <c r="P449" i="14"/>
  <c r="M446" i="14"/>
  <c r="M33" i="14"/>
  <c r="M13" i="14" s="1"/>
  <c r="M629" i="14"/>
  <c r="P629" i="14" s="1"/>
  <c r="P421" i="14"/>
  <c r="M419" i="14"/>
  <c r="P23" i="14"/>
  <c r="M20" i="14"/>
  <c r="O263" i="4"/>
  <c r="O41" i="12"/>
  <c r="O167" i="10"/>
  <c r="O300" i="11"/>
  <c r="P181" i="12"/>
  <c r="O330" i="13"/>
  <c r="O41" i="14"/>
  <c r="N24" i="14"/>
  <c r="P24" i="14" s="1"/>
  <c r="L20" i="13"/>
  <c r="L18" i="13" s="1"/>
  <c r="O687" i="14"/>
  <c r="L685" i="14"/>
  <c r="O685" i="14" s="1"/>
  <c r="N9" i="14"/>
  <c r="O23" i="14"/>
  <c r="L20" i="14"/>
  <c r="L13" i="14"/>
  <c r="L21" i="14"/>
  <c r="O21" i="14" s="1"/>
  <c r="N20" i="14"/>
  <c r="N18" i="14" s="1"/>
  <c r="M21" i="14"/>
  <c r="P21" i="14" s="1"/>
  <c r="O43" i="4"/>
  <c r="K434" i="10"/>
  <c r="O631" i="11"/>
  <c r="O134" i="11"/>
  <c r="M632" i="12"/>
  <c r="P632" i="12" s="1"/>
  <c r="M687" i="12"/>
  <c r="P687" i="12" s="1"/>
  <c r="O347" i="13"/>
  <c r="K288" i="13"/>
  <c r="L149" i="10"/>
  <c r="O149" i="10" s="1"/>
  <c r="P263" i="11"/>
  <c r="M181" i="13"/>
  <c r="P181" i="13" s="1"/>
  <c r="P391" i="13"/>
  <c r="L227" i="13"/>
  <c r="L53" i="13"/>
  <c r="O53" i="13" s="1"/>
  <c r="L34" i="13"/>
  <c r="O34" i="13" s="1"/>
  <c r="P348" i="8"/>
  <c r="N181" i="9"/>
  <c r="O181" i="9" s="1"/>
  <c r="O138" i="10"/>
  <c r="M629" i="12"/>
  <c r="P629" i="12" s="1"/>
  <c r="L402" i="12"/>
  <c r="O402" i="12" s="1"/>
  <c r="P135" i="11"/>
  <c r="P345" i="13"/>
  <c r="O446" i="9"/>
  <c r="N261" i="11"/>
  <c r="O261" i="11" s="1"/>
  <c r="P165" i="10"/>
  <c r="N88" i="13"/>
  <c r="O90" i="13"/>
  <c r="P347" i="13"/>
  <c r="O68" i="13"/>
  <c r="L66" i="13"/>
  <c r="O66" i="13" s="1"/>
  <c r="P657" i="13"/>
  <c r="M655" i="13"/>
  <c r="P655" i="13" s="1"/>
  <c r="O279" i="13"/>
  <c r="L277" i="13"/>
  <c r="O277" i="13" s="1"/>
  <c r="O43" i="13"/>
  <c r="N41" i="13"/>
  <c r="O41" i="13" s="1"/>
  <c r="M119" i="12"/>
  <c r="P119" i="12" s="1"/>
  <c r="L389" i="12"/>
  <c r="O389" i="12" s="1"/>
  <c r="P43" i="12"/>
  <c r="O347" i="12"/>
  <c r="P68" i="11"/>
  <c r="P43" i="13"/>
  <c r="O91" i="13"/>
  <c r="P66" i="5"/>
  <c r="O351" i="9"/>
  <c r="P43" i="9"/>
  <c r="K417" i="10"/>
  <c r="L132" i="11"/>
  <c r="O132" i="11" s="1"/>
  <c r="L16" i="11"/>
  <c r="O16" i="11" s="1"/>
  <c r="P26" i="12"/>
  <c r="O168" i="12"/>
  <c r="O68" i="11"/>
  <c r="L315" i="12"/>
  <c r="O315" i="12" s="1"/>
  <c r="P43" i="11"/>
  <c r="L34" i="12"/>
  <c r="O34" i="12" s="1"/>
  <c r="L298" i="13"/>
  <c r="O298" i="13" s="1"/>
  <c r="L13" i="13"/>
  <c r="L11" i="13" s="1"/>
  <c r="L132" i="13"/>
  <c r="O132" i="13" s="1"/>
  <c r="M53" i="13"/>
  <c r="P53" i="13" s="1"/>
  <c r="L31" i="13"/>
  <c r="O31" i="13" s="1"/>
  <c r="O33" i="13"/>
  <c r="L30" i="13"/>
  <c r="O30" i="13" s="1"/>
  <c r="L21" i="13"/>
  <c r="L419" i="9"/>
  <c r="O419" i="9" s="1"/>
  <c r="O168" i="10"/>
  <c r="O165" i="9"/>
  <c r="P167" i="10"/>
  <c r="M402" i="11"/>
  <c r="P402" i="11" s="1"/>
  <c r="P300" i="11"/>
  <c r="P121" i="11"/>
  <c r="O167" i="9"/>
  <c r="L685" i="12"/>
  <c r="O685" i="12" s="1"/>
  <c r="L345" i="12"/>
  <c r="O345" i="12" s="1"/>
  <c r="O184" i="12"/>
  <c r="P41" i="12"/>
  <c r="L345" i="13"/>
  <c r="O345" i="13" s="1"/>
  <c r="M132" i="13"/>
  <c r="P132" i="13" s="1"/>
  <c r="I65" i="13"/>
  <c r="K65" i="13" s="1"/>
  <c r="K77" i="13"/>
  <c r="O469" i="5"/>
  <c r="O66" i="11"/>
  <c r="L629" i="12"/>
  <c r="O629" i="12" s="1"/>
  <c r="O43" i="11"/>
  <c r="K785" i="12"/>
  <c r="P424" i="12"/>
  <c r="M421" i="12"/>
  <c r="M419" i="12" s="1"/>
  <c r="P419" i="12" s="1"/>
  <c r="O263" i="13"/>
  <c r="L16" i="13"/>
  <c r="O16" i="13" s="1"/>
  <c r="L389" i="13"/>
  <c r="O389" i="13" s="1"/>
  <c r="P317" i="13"/>
  <c r="M315" i="13"/>
  <c r="P315" i="13" s="1"/>
  <c r="P347" i="8"/>
  <c r="O134" i="10"/>
  <c r="O151" i="12"/>
  <c r="N53" i="12"/>
  <c r="P53" i="12" s="1"/>
  <c r="O44" i="13"/>
  <c r="M41" i="13"/>
  <c r="L402" i="13"/>
  <c r="O402" i="13" s="1"/>
  <c r="O404" i="13"/>
  <c r="O9" i="13"/>
  <c r="O43" i="9"/>
  <c r="M66" i="11"/>
  <c r="P66" i="11" s="1"/>
  <c r="P184" i="12"/>
  <c r="O167" i="13"/>
  <c r="L165" i="13"/>
  <c r="O165" i="13" s="1"/>
  <c r="M469" i="13"/>
  <c r="P472" i="13"/>
  <c r="M470" i="13"/>
  <c r="P470" i="13" s="1"/>
  <c r="K364" i="9"/>
  <c r="I164" i="9"/>
  <c r="K164" i="9" s="1"/>
  <c r="O330" i="10"/>
  <c r="P183" i="11"/>
  <c r="P183" i="12"/>
  <c r="O90" i="12"/>
  <c r="M688" i="13"/>
  <c r="P688" i="13" s="1"/>
  <c r="P690" i="13"/>
  <c r="M687" i="13"/>
  <c r="P791" i="13"/>
  <c r="M788" i="13"/>
  <c r="M789" i="13"/>
  <c r="P789" i="13" s="1"/>
  <c r="M544" i="13"/>
  <c r="P544" i="13" s="1"/>
  <c r="N629" i="13"/>
  <c r="O629" i="13" s="1"/>
  <c r="M165" i="13"/>
  <c r="P165" i="13" s="1"/>
  <c r="O470" i="13"/>
  <c r="M402" i="13"/>
  <c r="P402" i="13" s="1"/>
  <c r="P29" i="13"/>
  <c r="L444" i="13"/>
  <c r="O444" i="13" s="1"/>
  <c r="K433" i="13"/>
  <c r="K174" i="13"/>
  <c r="I164" i="13"/>
  <c r="K164" i="13" s="1"/>
  <c r="K77" i="9"/>
  <c r="P55" i="10"/>
  <c r="P330" i="10"/>
  <c r="O183" i="11"/>
  <c r="M402" i="12"/>
  <c r="P402" i="12" s="1"/>
  <c r="L523" i="13"/>
  <c r="O523" i="13" s="1"/>
  <c r="O525" i="13"/>
  <c r="N20" i="13"/>
  <c r="N18" i="13" s="1"/>
  <c r="N13" i="13"/>
  <c r="N21" i="13"/>
  <c r="K417" i="13"/>
  <c r="O26" i="13"/>
  <c r="P263" i="13"/>
  <c r="O469" i="13"/>
  <c r="L467" i="13"/>
  <c r="O467" i="13" s="1"/>
  <c r="O183" i="13"/>
  <c r="L181" i="13"/>
  <c r="O181" i="13" s="1"/>
  <c r="O23" i="10"/>
  <c r="K434" i="11"/>
  <c r="P632" i="13"/>
  <c r="L315" i="13"/>
  <c r="O315" i="13" s="1"/>
  <c r="O317" i="13"/>
  <c r="P15" i="13"/>
  <c r="O29" i="13"/>
  <c r="P44" i="13"/>
  <c r="P261" i="13"/>
  <c r="N24" i="13"/>
  <c r="O24" i="13" s="1"/>
  <c r="P264" i="13"/>
  <c r="P26" i="13"/>
  <c r="M16" i="13"/>
  <c r="P16" i="13" s="1"/>
  <c r="M24" i="13"/>
  <c r="O15" i="13"/>
  <c r="O788" i="13"/>
  <c r="L786" i="13"/>
  <c r="O786" i="13" s="1"/>
  <c r="P631" i="13"/>
  <c r="M629" i="13"/>
  <c r="P629" i="13" s="1"/>
  <c r="P444" i="13"/>
  <c r="P279" i="13"/>
  <c r="M277" i="13"/>
  <c r="P277" i="13" s="1"/>
  <c r="I131" i="13"/>
  <c r="K131" i="13" s="1"/>
  <c r="K143" i="13"/>
  <c r="P9" i="13"/>
  <c r="K237" i="13"/>
  <c r="I226" i="13"/>
  <c r="P23" i="13"/>
  <c r="M20" i="13"/>
  <c r="M21" i="13"/>
  <c r="M33" i="13"/>
  <c r="M13" i="13" s="1"/>
  <c r="M119" i="13"/>
  <c r="P119" i="13" s="1"/>
  <c r="P121" i="13"/>
  <c r="N14" i="13"/>
  <c r="M277" i="9"/>
  <c r="P277" i="9" s="1"/>
  <c r="L467" i="9"/>
  <c r="O467" i="9" s="1"/>
  <c r="P165" i="9"/>
  <c r="P134" i="10"/>
  <c r="O55" i="10"/>
  <c r="L30" i="11"/>
  <c r="L28" i="11" s="1"/>
  <c r="O657" i="11"/>
  <c r="P279" i="12"/>
  <c r="O68" i="12"/>
  <c r="O121" i="12"/>
  <c r="L523" i="12"/>
  <c r="O523" i="12" s="1"/>
  <c r="P68" i="12"/>
  <c r="M66" i="12"/>
  <c r="P66" i="12" s="1"/>
  <c r="O546" i="12"/>
  <c r="P788" i="12"/>
  <c r="M786" i="12"/>
  <c r="P786" i="12" s="1"/>
  <c r="L315" i="10"/>
  <c r="O315" i="10" s="1"/>
  <c r="L16" i="10"/>
  <c r="L14" i="10" s="1"/>
  <c r="L24" i="11"/>
  <c r="O36" i="11"/>
  <c r="P90" i="12"/>
  <c r="P634" i="9"/>
  <c r="L181" i="12"/>
  <c r="O181" i="12" s="1"/>
  <c r="P88" i="12"/>
  <c r="L31" i="8"/>
  <c r="O31" i="8" s="1"/>
  <c r="O90" i="9"/>
  <c r="L20" i="10"/>
  <c r="L18" i="10" s="1"/>
  <c r="O331" i="10"/>
  <c r="O546" i="10"/>
  <c r="M547" i="11"/>
  <c r="P547" i="11" s="1"/>
  <c r="O90" i="11"/>
  <c r="O168" i="11"/>
  <c r="M315" i="11"/>
  <c r="P315" i="11" s="1"/>
  <c r="N328" i="12"/>
  <c r="O328" i="12" s="1"/>
  <c r="M629" i="9"/>
  <c r="P629" i="9" s="1"/>
  <c r="N21" i="9"/>
  <c r="O21" i="9" s="1"/>
  <c r="P330" i="12"/>
  <c r="M328" i="12"/>
  <c r="P549" i="12"/>
  <c r="M546" i="12"/>
  <c r="M24" i="10"/>
  <c r="O657" i="12"/>
  <c r="L655" i="12"/>
  <c r="O655" i="12" s="1"/>
  <c r="O688" i="8"/>
  <c r="L544" i="8"/>
  <c r="O544" i="8" s="1"/>
  <c r="O351" i="10"/>
  <c r="M328" i="10"/>
  <c r="P328" i="10" s="1"/>
  <c r="M544" i="11"/>
  <c r="P544" i="11" s="1"/>
  <c r="L467" i="11"/>
  <c r="O467" i="11" s="1"/>
  <c r="L165" i="11"/>
  <c r="O165" i="11" s="1"/>
  <c r="P263" i="12"/>
  <c r="N277" i="12"/>
  <c r="P277" i="12" s="1"/>
  <c r="M132" i="12"/>
  <c r="P132" i="12" s="1"/>
  <c r="P134" i="12"/>
  <c r="P167" i="12"/>
  <c r="M165" i="12"/>
  <c r="P165" i="12" s="1"/>
  <c r="P69" i="9"/>
  <c r="P183" i="10"/>
  <c r="L181" i="11"/>
  <c r="O181" i="11" s="1"/>
  <c r="O132" i="10"/>
  <c r="P23" i="12"/>
  <c r="M20" i="12"/>
  <c r="M21" i="12"/>
  <c r="O43" i="8"/>
  <c r="O26" i="10"/>
  <c r="P168" i="11"/>
  <c r="M467" i="12"/>
  <c r="P467" i="12" s="1"/>
  <c r="I180" i="12"/>
  <c r="K180" i="12" s="1"/>
  <c r="K226" i="12"/>
  <c r="O279" i="12"/>
  <c r="L277" i="12"/>
  <c r="N24" i="12"/>
  <c r="N16" i="12"/>
  <c r="N14" i="12" s="1"/>
  <c r="P14" i="12" s="1"/>
  <c r="O19" i="12"/>
  <c r="M298" i="12"/>
  <c r="P298" i="12" s="1"/>
  <c r="O56" i="11"/>
  <c r="N414" i="12"/>
  <c r="K434" i="12"/>
  <c r="I418" i="12"/>
  <c r="K418" i="12" s="1"/>
  <c r="P19" i="12"/>
  <c r="O12" i="12"/>
  <c r="L9" i="12"/>
  <c r="P347" i="12"/>
  <c r="M345" i="12"/>
  <c r="P345" i="12" s="1"/>
  <c r="N20" i="12"/>
  <c r="N18" i="12" s="1"/>
  <c r="N11" i="12"/>
  <c r="O181" i="10"/>
  <c r="M657" i="12"/>
  <c r="M658" i="12"/>
  <c r="P658" i="12" s="1"/>
  <c r="P660" i="12"/>
  <c r="M446" i="12"/>
  <c r="P449" i="12"/>
  <c r="M447" i="12"/>
  <c r="P447" i="12" s="1"/>
  <c r="M33" i="12"/>
  <c r="M13" i="12" s="1"/>
  <c r="P12" i="12"/>
  <c r="M9" i="12"/>
  <c r="L261" i="12"/>
  <c r="O261" i="12" s="1"/>
  <c r="O263" i="12"/>
  <c r="O134" i="12"/>
  <c r="L132" i="12"/>
  <c r="O132" i="12" s="1"/>
  <c r="M20" i="10"/>
  <c r="M18" i="10" s="1"/>
  <c r="P26" i="10"/>
  <c r="O279" i="10"/>
  <c r="P391" i="12"/>
  <c r="M389" i="12"/>
  <c r="P389" i="12" s="1"/>
  <c r="O23" i="12"/>
  <c r="L20" i="12"/>
  <c r="L13" i="12"/>
  <c r="L21" i="12"/>
  <c r="O238" i="12"/>
  <c r="L227" i="12"/>
  <c r="O26" i="12"/>
  <c r="L16" i="12"/>
  <c r="L24" i="12"/>
  <c r="I417" i="12"/>
  <c r="K417" i="12" s="1"/>
  <c r="K433" i="12"/>
  <c r="O68" i="10"/>
  <c r="N119" i="11"/>
  <c r="P119" i="11" s="1"/>
  <c r="O277" i="11"/>
  <c r="M132" i="11"/>
  <c r="P132" i="11" s="1"/>
  <c r="P134" i="11"/>
  <c r="L629" i="9"/>
  <c r="O629" i="9" s="1"/>
  <c r="L53" i="10"/>
  <c r="O53" i="10" s="1"/>
  <c r="L298" i="11"/>
  <c r="O298" i="11" s="1"/>
  <c r="P151" i="11"/>
  <c r="O183" i="9"/>
  <c r="P279" i="10"/>
  <c r="L20" i="5"/>
  <c r="L18" i="5" s="1"/>
  <c r="L13" i="9"/>
  <c r="L11" i="9" s="1"/>
  <c r="O11" i="9" s="1"/>
  <c r="M277" i="10"/>
  <c r="P277" i="10" s="1"/>
  <c r="L345" i="11"/>
  <c r="O345" i="11" s="1"/>
  <c r="O26" i="11"/>
  <c r="N24" i="11"/>
  <c r="O546" i="4"/>
  <c r="M469" i="10"/>
  <c r="P469" i="10" s="1"/>
  <c r="O183" i="10"/>
  <c r="L402" i="11"/>
  <c r="O402" i="11" s="1"/>
  <c r="M165" i="11"/>
  <c r="P165" i="11" s="1"/>
  <c r="P69" i="5"/>
  <c r="P472" i="10"/>
  <c r="P347" i="10"/>
  <c r="M298" i="11"/>
  <c r="P298" i="11" s="1"/>
  <c r="I64" i="11"/>
  <c r="K64" i="11" s="1"/>
  <c r="K76" i="11"/>
  <c r="M315" i="7"/>
  <c r="P315" i="7" s="1"/>
  <c r="O121" i="9"/>
  <c r="L315" i="11"/>
  <c r="O315" i="11" s="1"/>
  <c r="O300" i="10"/>
  <c r="M345" i="11"/>
  <c r="P345" i="11" s="1"/>
  <c r="O279" i="11"/>
  <c r="P55" i="11"/>
  <c r="N53" i="11"/>
  <c r="P53" i="11" s="1"/>
  <c r="O55" i="11"/>
  <c r="P19" i="11"/>
  <c r="L786" i="9"/>
  <c r="O786" i="9" s="1"/>
  <c r="K76" i="10"/>
  <c r="O347" i="10"/>
  <c r="J417" i="11"/>
  <c r="K417" i="11" s="1"/>
  <c r="K433" i="11"/>
  <c r="O121" i="11"/>
  <c r="L119" i="11"/>
  <c r="P449" i="11"/>
  <c r="M447" i="11"/>
  <c r="M446" i="11"/>
  <c r="M33" i="11"/>
  <c r="P135" i="6"/>
  <c r="M315" i="9"/>
  <c r="P315" i="9" s="1"/>
  <c r="N298" i="10"/>
  <c r="O298" i="10" s="1"/>
  <c r="P351" i="10"/>
  <c r="P330" i="11"/>
  <c r="M328" i="11"/>
  <c r="P328" i="11" s="1"/>
  <c r="O29" i="11"/>
  <c r="N446" i="11"/>
  <c r="N447" i="11"/>
  <c r="O447" i="11" s="1"/>
  <c r="N33" i="11"/>
  <c r="N13" i="11" s="1"/>
  <c r="L328" i="11"/>
  <c r="O328" i="11" s="1"/>
  <c r="O330" i="11"/>
  <c r="P12" i="11"/>
  <c r="M9" i="11"/>
  <c r="M419" i="11"/>
  <c r="M261" i="11"/>
  <c r="I65" i="11"/>
  <c r="K65" i="11" s="1"/>
  <c r="K77" i="11"/>
  <c r="O525" i="11"/>
  <c r="L523" i="11"/>
  <c r="O523" i="11" s="1"/>
  <c r="N20" i="11"/>
  <c r="N18" i="11" s="1"/>
  <c r="N9" i="11"/>
  <c r="O261" i="10"/>
  <c r="O687" i="11"/>
  <c r="L685" i="11"/>
  <c r="O685" i="11" s="1"/>
  <c r="L21" i="11"/>
  <c r="O21" i="11" s="1"/>
  <c r="O23" i="11"/>
  <c r="L20" i="11"/>
  <c r="L13" i="11"/>
  <c r="P90" i="11"/>
  <c r="O347" i="9"/>
  <c r="K559" i="10"/>
  <c r="N345" i="10"/>
  <c r="P345" i="10" s="1"/>
  <c r="L523" i="10"/>
  <c r="O523" i="10" s="1"/>
  <c r="I226" i="11"/>
  <c r="K237" i="11"/>
  <c r="O546" i="11"/>
  <c r="L544" i="11"/>
  <c r="O544" i="11" s="1"/>
  <c r="O15" i="11"/>
  <c r="O238" i="11"/>
  <c r="L227" i="11"/>
  <c r="P41" i="11"/>
  <c r="K559" i="11"/>
  <c r="I543" i="11"/>
  <c r="K543" i="11" s="1"/>
  <c r="O391" i="11"/>
  <c r="L389" i="11"/>
  <c r="O389" i="11" s="1"/>
  <c r="K143" i="11"/>
  <c r="I131" i="11"/>
  <c r="K131" i="11" s="1"/>
  <c r="P26" i="11"/>
  <c r="M16" i="11"/>
  <c r="M24" i="11"/>
  <c r="O317" i="9"/>
  <c r="O404" i="9"/>
  <c r="L66" i="10"/>
  <c r="O66" i="10" s="1"/>
  <c r="K131" i="10"/>
  <c r="O263" i="10"/>
  <c r="L419" i="11"/>
  <c r="O421" i="11"/>
  <c r="P472" i="11"/>
  <c r="M470" i="11"/>
  <c r="P470" i="11" s="1"/>
  <c r="M469" i="11"/>
  <c r="P391" i="11"/>
  <c r="M389" i="11"/>
  <c r="P389" i="11" s="1"/>
  <c r="P149" i="11"/>
  <c r="L9" i="11"/>
  <c r="P23" i="11"/>
  <c r="M20" i="11"/>
  <c r="M18" i="11" s="1"/>
  <c r="M21" i="11"/>
  <c r="P21" i="11" s="1"/>
  <c r="P330" i="9"/>
  <c r="P300" i="10"/>
  <c r="L34" i="10"/>
  <c r="O34" i="10" s="1"/>
  <c r="K143" i="10"/>
  <c r="P23" i="10"/>
  <c r="P279" i="11"/>
  <c r="M277" i="11"/>
  <c r="P277" i="11" s="1"/>
  <c r="M629" i="11"/>
  <c r="P629" i="11" s="1"/>
  <c r="P422" i="11"/>
  <c r="N88" i="11"/>
  <c r="P88" i="11" s="1"/>
  <c r="P91" i="11"/>
  <c r="O41" i="11"/>
  <c r="O41" i="9"/>
  <c r="O330" i="9"/>
  <c r="L389" i="9"/>
  <c r="O389" i="9" s="1"/>
  <c r="L786" i="10"/>
  <c r="O786" i="10" s="1"/>
  <c r="K433" i="10"/>
  <c r="O90" i="10"/>
  <c r="M132" i="10"/>
  <c r="P132" i="10" s="1"/>
  <c r="N16" i="10"/>
  <c r="N14" i="10" s="1"/>
  <c r="N24" i="10"/>
  <c r="N20" i="10"/>
  <c r="N18" i="10" s="1"/>
  <c r="N21" i="10"/>
  <c r="O21" i="10" s="1"/>
  <c r="N13" i="10"/>
  <c r="P280" i="10"/>
  <c r="M21" i="10"/>
  <c r="O300" i="9"/>
  <c r="L298" i="9"/>
  <c r="O298" i="9" s="1"/>
  <c r="O264" i="10"/>
  <c r="P165" i="8"/>
  <c r="L119" i="10"/>
  <c r="O119" i="10" s="1"/>
  <c r="L402" i="10"/>
  <c r="O402" i="10" s="1"/>
  <c r="O404" i="10"/>
  <c r="P152" i="8"/>
  <c r="L181" i="8"/>
  <c r="O181" i="8" s="1"/>
  <c r="M632" i="9"/>
  <c r="P632" i="9" s="1"/>
  <c r="P328" i="9"/>
  <c r="P23" i="9"/>
  <c r="O277" i="10"/>
  <c r="M402" i="10"/>
  <c r="P402" i="10" s="1"/>
  <c r="P404" i="10"/>
  <c r="M688" i="8"/>
  <c r="P688" i="8" s="1"/>
  <c r="L345" i="9"/>
  <c r="O345" i="9" s="1"/>
  <c r="O23" i="9"/>
  <c r="M53" i="10"/>
  <c r="P53" i="10" s="1"/>
  <c r="L165" i="10"/>
  <c r="O165" i="10" s="1"/>
  <c r="L41" i="10"/>
  <c r="O41" i="10" s="1"/>
  <c r="O43" i="10"/>
  <c r="I164" i="10"/>
  <c r="K164" i="10" s="1"/>
  <c r="K174" i="10"/>
  <c r="P546" i="10"/>
  <c r="M544" i="10"/>
  <c r="P544" i="10" s="1"/>
  <c r="M119" i="7"/>
  <c r="P119" i="7" s="1"/>
  <c r="O300" i="8"/>
  <c r="O151" i="8"/>
  <c r="N41" i="8"/>
  <c r="P41" i="8" s="1"/>
  <c r="L20" i="9"/>
  <c r="L18" i="9" s="1"/>
  <c r="M298" i="10"/>
  <c r="M88" i="10"/>
  <c r="P88" i="10" s="1"/>
  <c r="P90" i="10"/>
  <c r="O33" i="10"/>
  <c r="L31" i="10"/>
  <c r="O31" i="10" s="1"/>
  <c r="M66" i="10"/>
  <c r="P66" i="10" s="1"/>
  <c r="P68" i="10"/>
  <c r="P263" i="10"/>
  <c r="M261" i="10"/>
  <c r="P261" i="10" s="1"/>
  <c r="P183" i="6"/>
  <c r="P634" i="7"/>
  <c r="O135" i="9"/>
  <c r="N66" i="9"/>
  <c r="P66" i="9" s="1"/>
  <c r="M315" i="10"/>
  <c r="P315" i="10" s="1"/>
  <c r="L227" i="7"/>
  <c r="M631" i="7"/>
  <c r="M629" i="7" s="1"/>
  <c r="P41" i="9"/>
  <c r="L685" i="10"/>
  <c r="O685" i="10" s="1"/>
  <c r="M181" i="10"/>
  <c r="P181" i="10" s="1"/>
  <c r="L30" i="10"/>
  <c r="L13" i="10"/>
  <c r="P43" i="10"/>
  <c r="M41" i="10"/>
  <c r="P41" i="10" s="1"/>
  <c r="L655" i="10"/>
  <c r="O655" i="10" s="1"/>
  <c r="O657" i="10"/>
  <c r="P469" i="8"/>
  <c r="M467" i="8"/>
  <c r="P467" i="8" s="1"/>
  <c r="P449" i="7"/>
  <c r="O300" i="7"/>
  <c r="P184" i="8"/>
  <c r="M21" i="9"/>
  <c r="O12" i="10"/>
  <c r="L9" i="10"/>
  <c r="L119" i="9"/>
  <c r="O119" i="9" s="1"/>
  <c r="P424" i="10"/>
  <c r="M421" i="10"/>
  <c r="M33" i="10"/>
  <c r="M422" i="10"/>
  <c r="P422" i="10" s="1"/>
  <c r="P449" i="10"/>
  <c r="M446" i="10"/>
  <c r="M447" i="10"/>
  <c r="P447" i="10" s="1"/>
  <c r="K237" i="10"/>
  <c r="I226" i="10"/>
  <c r="P68" i="4"/>
  <c r="O547" i="7"/>
  <c r="O419" i="10"/>
  <c r="I65" i="10"/>
  <c r="K65" i="10" s="1"/>
  <c r="K77" i="10"/>
  <c r="L629" i="10"/>
  <c r="O629" i="10" s="1"/>
  <c r="P121" i="10"/>
  <c r="M119" i="10"/>
  <c r="P119" i="10" s="1"/>
  <c r="P15" i="10"/>
  <c r="M14" i="10"/>
  <c r="P631" i="6"/>
  <c r="M687" i="8"/>
  <c r="P687" i="8" s="1"/>
  <c r="P90" i="8"/>
  <c r="L261" i="9"/>
  <c r="O261" i="9" s="1"/>
  <c r="O446" i="10"/>
  <c r="L444" i="10"/>
  <c r="O444" i="10" s="1"/>
  <c r="L227" i="10"/>
  <c r="N9" i="10"/>
  <c r="P301" i="5"/>
  <c r="L119" i="8"/>
  <c r="O119" i="8" s="1"/>
  <c r="L685" i="8"/>
  <c r="O685" i="8" s="1"/>
  <c r="L328" i="10"/>
  <c r="O328" i="10" s="1"/>
  <c r="O19" i="10"/>
  <c r="L88" i="10"/>
  <c r="O88" i="10" s="1"/>
  <c r="M9" i="10"/>
  <c r="K288" i="10"/>
  <c r="P631" i="10"/>
  <c r="M629" i="10"/>
  <c r="P629" i="10" s="1"/>
  <c r="P391" i="10"/>
  <c r="M389" i="10"/>
  <c r="P389" i="10" s="1"/>
  <c r="P151" i="10"/>
  <c r="M149" i="10"/>
  <c r="P149" i="10" s="1"/>
  <c r="P29" i="10"/>
  <c r="K559" i="6"/>
  <c r="O263" i="8"/>
  <c r="O90" i="8"/>
  <c r="M467" i="9"/>
  <c r="P467" i="9" s="1"/>
  <c r="K433" i="7"/>
  <c r="M66" i="7"/>
  <c r="P66" i="7" s="1"/>
  <c r="O328" i="9"/>
  <c r="L31" i="9"/>
  <c r="O31" i="9" s="1"/>
  <c r="O279" i="2"/>
  <c r="L467" i="4"/>
  <c r="O467" i="4" s="1"/>
  <c r="P549" i="8"/>
  <c r="L315" i="8"/>
  <c r="O315" i="8" s="1"/>
  <c r="L149" i="9"/>
  <c r="O149" i="9" s="1"/>
  <c r="L523" i="9"/>
  <c r="O523" i="9" s="1"/>
  <c r="P55" i="9"/>
  <c r="M53" i="9"/>
  <c r="P53" i="9" s="1"/>
  <c r="O657" i="9"/>
  <c r="L655" i="9"/>
  <c r="O655" i="9" s="1"/>
  <c r="O68" i="9"/>
  <c r="O279" i="9"/>
  <c r="L277" i="9"/>
  <c r="O277" i="9" s="1"/>
  <c r="I64" i="4"/>
  <c r="K64" i="4" s="1"/>
  <c r="O183" i="6"/>
  <c r="O469" i="8"/>
  <c r="P69" i="8"/>
  <c r="L544" i="9"/>
  <c r="O544" i="9" s="1"/>
  <c r="O546" i="9"/>
  <c r="O184" i="6"/>
  <c r="M657" i="6"/>
  <c r="P657" i="6" s="1"/>
  <c r="M444" i="7"/>
  <c r="P444" i="7" s="1"/>
  <c r="O183" i="7"/>
  <c r="O167" i="8"/>
  <c r="O280" i="8"/>
  <c r="P132" i="9"/>
  <c r="P134" i="9"/>
  <c r="O134" i="9"/>
  <c r="O330" i="3"/>
  <c r="O181" i="3"/>
  <c r="M389" i="7"/>
  <c r="P389" i="7" s="1"/>
  <c r="L389" i="7"/>
  <c r="O389" i="7" s="1"/>
  <c r="O69" i="8"/>
  <c r="O165" i="8"/>
  <c r="O132" i="9"/>
  <c r="P55" i="8"/>
  <c r="L402" i="8"/>
  <c r="O402" i="8" s="1"/>
  <c r="I543" i="9"/>
  <c r="K543" i="9" s="1"/>
  <c r="K559" i="9"/>
  <c r="P549" i="9"/>
  <c r="M546" i="9"/>
  <c r="L88" i="9"/>
  <c r="O88" i="9" s="1"/>
  <c r="O687" i="6"/>
  <c r="M447" i="7"/>
  <c r="P447" i="7" s="1"/>
  <c r="L119" i="7"/>
  <c r="O119" i="7" s="1"/>
  <c r="M181" i="8"/>
  <c r="P181" i="8" s="1"/>
  <c r="P134" i="6"/>
  <c r="O279" i="8"/>
  <c r="K237" i="9"/>
  <c r="I226" i="9"/>
  <c r="P391" i="9"/>
  <c r="M389" i="9"/>
  <c r="P389" i="9" s="1"/>
  <c r="P184" i="9"/>
  <c r="L30" i="9"/>
  <c r="O33" i="9"/>
  <c r="M119" i="9"/>
  <c r="P119" i="9" s="1"/>
  <c r="P121" i="9"/>
  <c r="M402" i="9"/>
  <c r="P402" i="9" s="1"/>
  <c r="P12" i="9"/>
  <c r="M9" i="9"/>
  <c r="O444" i="9"/>
  <c r="P44" i="9"/>
  <c r="P421" i="9"/>
  <c r="M419" i="9"/>
  <c r="M16" i="9"/>
  <c r="P26" i="9"/>
  <c r="M298" i="9"/>
  <c r="P298" i="9" s="1"/>
  <c r="K433" i="9"/>
  <c r="O69" i="9"/>
  <c r="M24" i="9"/>
  <c r="P24" i="9" s="1"/>
  <c r="L132" i="8"/>
  <c r="O132" i="8" s="1"/>
  <c r="M446" i="9"/>
  <c r="M447" i="9"/>
  <c r="P447" i="9" s="1"/>
  <c r="M33" i="9"/>
  <c r="P449" i="9"/>
  <c r="P168" i="9"/>
  <c r="M88" i="9"/>
  <c r="P90" i="9"/>
  <c r="P19" i="9"/>
  <c r="L227" i="9"/>
  <c r="K76" i="9"/>
  <c r="I64" i="9"/>
  <c r="K64" i="9" s="1"/>
  <c r="L685" i="9"/>
  <c r="O685" i="9" s="1"/>
  <c r="P347" i="9"/>
  <c r="M345" i="9"/>
  <c r="P345" i="9" s="1"/>
  <c r="K417" i="9"/>
  <c r="N20" i="9"/>
  <c r="N18" i="9" s="1"/>
  <c r="N16" i="9"/>
  <c r="M14" i="9"/>
  <c r="P15" i="9"/>
  <c r="O36" i="9"/>
  <c r="L34" i="9"/>
  <c r="O34" i="9" s="1"/>
  <c r="M20" i="9"/>
  <c r="K434" i="9"/>
  <c r="I418" i="9"/>
  <c r="K418" i="9" s="1"/>
  <c r="L53" i="9"/>
  <c r="O55" i="9"/>
  <c r="O12" i="9"/>
  <c r="L9" i="9"/>
  <c r="P43" i="8"/>
  <c r="P300" i="8"/>
  <c r="P263" i="9"/>
  <c r="M261" i="9"/>
  <c r="P261" i="9" s="1"/>
  <c r="O26" i="9"/>
  <c r="L24" i="9"/>
  <c r="O24" i="9" s="1"/>
  <c r="L16" i="9"/>
  <c r="K143" i="9"/>
  <c r="I131" i="9"/>
  <c r="K131" i="9" s="1"/>
  <c r="O68" i="6"/>
  <c r="L685" i="7"/>
  <c r="O685" i="7" s="1"/>
  <c r="O55" i="7"/>
  <c r="I131" i="7"/>
  <c r="K131" i="7" s="1"/>
  <c r="N277" i="8"/>
  <c r="O277" i="8" s="1"/>
  <c r="M315" i="8"/>
  <c r="P315" i="8" s="1"/>
  <c r="M470" i="8"/>
  <c r="P470" i="8" s="1"/>
  <c r="P472" i="8"/>
  <c r="P660" i="6"/>
  <c r="P348" i="6"/>
  <c r="P152" i="7"/>
  <c r="P263" i="7"/>
  <c r="O467" i="8"/>
  <c r="M88" i="8"/>
  <c r="P88" i="8" s="1"/>
  <c r="I164" i="8"/>
  <c r="K164" i="8" s="1"/>
  <c r="P167" i="8"/>
  <c r="M298" i="7"/>
  <c r="P298" i="7" s="1"/>
  <c r="P23" i="8"/>
  <c r="P279" i="8"/>
  <c r="O347" i="5"/>
  <c r="N181" i="7"/>
  <c r="O181" i="7" s="1"/>
  <c r="N53" i="7"/>
  <c r="P53" i="7" s="1"/>
  <c r="L629" i="8"/>
  <c r="O629" i="8" s="1"/>
  <c r="P347" i="5"/>
  <c r="O181" i="6"/>
  <c r="L786" i="8"/>
  <c r="O786" i="8" s="1"/>
  <c r="K236" i="1"/>
  <c r="L655" i="3"/>
  <c r="O655" i="3" s="1"/>
  <c r="K143" i="6"/>
  <c r="M132" i="6"/>
  <c r="P132" i="6" s="1"/>
  <c r="L655" i="6"/>
  <c r="O655" i="6" s="1"/>
  <c r="N16" i="7"/>
  <c r="N14" i="7" s="1"/>
  <c r="L389" i="8"/>
  <c r="O389" i="8" s="1"/>
  <c r="K364" i="8"/>
  <c r="M546" i="8"/>
  <c r="P546" i="8" s="1"/>
  <c r="P528" i="6"/>
  <c r="P90" i="6"/>
  <c r="M132" i="7"/>
  <c r="P132" i="7" s="1"/>
  <c r="M119" i="8"/>
  <c r="P119" i="8" s="1"/>
  <c r="P121" i="8"/>
  <c r="L34" i="3"/>
  <c r="O34" i="3" s="1"/>
  <c r="O168" i="4"/>
  <c r="O348" i="5"/>
  <c r="L66" i="8"/>
  <c r="O66" i="8" s="1"/>
  <c r="L66" i="7"/>
  <c r="O66" i="7" s="1"/>
  <c r="O444" i="8"/>
  <c r="M21" i="8"/>
  <c r="P21" i="8" s="1"/>
  <c r="O446" i="8"/>
  <c r="N53" i="8"/>
  <c r="P53" i="8" s="1"/>
  <c r="M632" i="8"/>
  <c r="P632" i="8" s="1"/>
  <c r="M631" i="8"/>
  <c r="L132" i="5"/>
  <c r="O132" i="5" s="1"/>
  <c r="O328" i="6"/>
  <c r="P330" i="7"/>
  <c r="O330" i="7"/>
  <c r="P263" i="8"/>
  <c r="M261" i="8"/>
  <c r="P261" i="8" s="1"/>
  <c r="P391" i="8"/>
  <c r="M389" i="8"/>
  <c r="P389" i="8" s="1"/>
  <c r="O261" i="5"/>
  <c r="M261" i="7"/>
  <c r="L419" i="8"/>
  <c r="O419" i="8" s="1"/>
  <c r="P301" i="8"/>
  <c r="K275" i="8"/>
  <c r="N14" i="8"/>
  <c r="N24" i="8"/>
  <c r="P24" i="8" s="1"/>
  <c r="K77" i="6"/>
  <c r="I226" i="7"/>
  <c r="K226" i="7" s="1"/>
  <c r="P279" i="5"/>
  <c r="P424" i="8"/>
  <c r="M33" i="8"/>
  <c r="M422" i="8"/>
  <c r="P422" i="8" s="1"/>
  <c r="M421" i="8"/>
  <c r="K288" i="8"/>
  <c r="P9" i="8"/>
  <c r="P151" i="8"/>
  <c r="M149" i="8"/>
  <c r="P149" i="8" s="1"/>
  <c r="O55" i="8"/>
  <c r="L53" i="8"/>
  <c r="P15" i="8"/>
  <c r="I64" i="8"/>
  <c r="K64" i="8" s="1"/>
  <c r="K76" i="8"/>
  <c r="L389" i="4"/>
  <c r="O389" i="4" s="1"/>
  <c r="P347" i="6"/>
  <c r="P634" i="6"/>
  <c r="P280" i="6"/>
  <c r="M33" i="7"/>
  <c r="P33" i="7" s="1"/>
  <c r="P472" i="7"/>
  <c r="P183" i="7"/>
  <c r="N414" i="8"/>
  <c r="P330" i="8"/>
  <c r="M328" i="8"/>
  <c r="P328" i="8" s="1"/>
  <c r="M16" i="8"/>
  <c r="P16" i="8" s="1"/>
  <c r="P26" i="8"/>
  <c r="N9" i="8"/>
  <c r="O167" i="3"/>
  <c r="M632" i="6"/>
  <c r="P632" i="6" s="1"/>
  <c r="P449" i="6"/>
  <c r="O167" i="6"/>
  <c r="O134" i="6"/>
  <c r="P264" i="7"/>
  <c r="M470" i="7"/>
  <c r="P470" i="7" s="1"/>
  <c r="N13" i="7"/>
  <c r="P90" i="7"/>
  <c r="N20" i="7"/>
  <c r="N18" i="7" s="1"/>
  <c r="O300" i="6"/>
  <c r="P545" i="8"/>
  <c r="J592" i="8"/>
  <c r="K592" i="8" s="1"/>
  <c r="K593" i="8"/>
  <c r="M446" i="8"/>
  <c r="P449" i="8"/>
  <c r="M447" i="8"/>
  <c r="P447" i="8" s="1"/>
  <c r="N345" i="8"/>
  <c r="P345" i="8" s="1"/>
  <c r="M402" i="8"/>
  <c r="P402" i="8" s="1"/>
  <c r="K669" i="8"/>
  <c r="J654" i="8"/>
  <c r="K654" i="8" s="1"/>
  <c r="K77" i="8"/>
  <c r="I65" i="8"/>
  <c r="K65" i="8" s="1"/>
  <c r="L20" i="8"/>
  <c r="L18" i="8" s="1"/>
  <c r="L13" i="8"/>
  <c r="L11" i="8" s="1"/>
  <c r="O23" i="8"/>
  <c r="K433" i="8"/>
  <c r="K237" i="8"/>
  <c r="I226" i="8"/>
  <c r="O36" i="8"/>
  <c r="L34" i="8"/>
  <c r="O34" i="8" s="1"/>
  <c r="L30" i="8"/>
  <c r="O347" i="8"/>
  <c r="L345" i="8"/>
  <c r="L16" i="8"/>
  <c r="O26" i="8"/>
  <c r="L24" i="8"/>
  <c r="L261" i="8"/>
  <c r="O261" i="8" s="1"/>
  <c r="P56" i="8"/>
  <c r="O43" i="2"/>
  <c r="P167" i="3"/>
  <c r="P629" i="4"/>
  <c r="O264" i="5"/>
  <c r="K434" i="6"/>
  <c r="K275" i="6"/>
  <c r="O345" i="6"/>
  <c r="L132" i="7"/>
  <c r="O132" i="7" s="1"/>
  <c r="K77" i="7"/>
  <c r="P347" i="7"/>
  <c r="O12" i="8"/>
  <c r="L9" i="8"/>
  <c r="K417" i="8"/>
  <c r="P68" i="8"/>
  <c r="M66" i="8"/>
  <c r="P66" i="8" s="1"/>
  <c r="O348" i="8"/>
  <c r="P134" i="8"/>
  <c r="M132" i="8"/>
  <c r="P132" i="8" s="1"/>
  <c r="L88" i="8"/>
  <c r="O88" i="8" s="1"/>
  <c r="N13" i="8"/>
  <c r="N10" i="8" s="1"/>
  <c r="N20" i="8"/>
  <c r="N18" i="8" s="1"/>
  <c r="K434" i="8"/>
  <c r="I418" i="8"/>
  <c r="K418" i="8" s="1"/>
  <c r="K785" i="6"/>
  <c r="O421" i="7"/>
  <c r="L655" i="7"/>
  <c r="O655" i="7" s="1"/>
  <c r="K131" i="6"/>
  <c r="O525" i="8"/>
  <c r="L523" i="8"/>
  <c r="O523" i="8" s="1"/>
  <c r="P660" i="8"/>
  <c r="M657" i="8"/>
  <c r="M658" i="8"/>
  <c r="P658" i="8" s="1"/>
  <c r="L227" i="8"/>
  <c r="M20" i="8"/>
  <c r="L298" i="8"/>
  <c r="O298" i="8" s="1"/>
  <c r="L21" i="8"/>
  <c r="O21" i="8" s="1"/>
  <c r="L328" i="8"/>
  <c r="O328" i="8" s="1"/>
  <c r="O330" i="8"/>
  <c r="O19" i="8"/>
  <c r="L149" i="8"/>
  <c r="O149" i="8" s="1"/>
  <c r="P264" i="4"/>
  <c r="L444" i="5"/>
  <c r="O444" i="5" s="1"/>
  <c r="P330" i="6"/>
  <c r="M525" i="6"/>
  <c r="O315" i="6"/>
  <c r="L328" i="7"/>
  <c r="O328" i="7" s="1"/>
  <c r="L419" i="5"/>
  <c r="O419" i="5" s="1"/>
  <c r="L298" i="6"/>
  <c r="O298" i="6" s="1"/>
  <c r="L34" i="6"/>
  <c r="O34" i="6" s="1"/>
  <c r="P317" i="6"/>
  <c r="O317" i="6"/>
  <c r="J275" i="7"/>
  <c r="K275" i="7" s="1"/>
  <c r="O279" i="7"/>
  <c r="L34" i="5"/>
  <c r="O34" i="5" s="1"/>
  <c r="M789" i="6"/>
  <c r="P789" i="6" s="1"/>
  <c r="L402" i="6"/>
  <c r="O402" i="6" s="1"/>
  <c r="P55" i="6"/>
  <c r="M277" i="5"/>
  <c r="P277" i="5" s="1"/>
  <c r="P315" i="6"/>
  <c r="O44" i="7"/>
  <c r="L402" i="4"/>
  <c r="O402" i="4" s="1"/>
  <c r="P404" i="4"/>
  <c r="O90" i="4"/>
  <c r="K537" i="6"/>
  <c r="P688" i="6"/>
  <c r="O330" i="5"/>
  <c r="N88" i="7"/>
  <c r="P88" i="7" s="1"/>
  <c r="P44" i="7"/>
  <c r="O55" i="3"/>
  <c r="P43" i="5"/>
  <c r="P298" i="5"/>
  <c r="O55" i="6"/>
  <c r="P53" i="6"/>
  <c r="P263" i="6"/>
  <c r="M788" i="6"/>
  <c r="P168" i="4"/>
  <c r="P280" i="5"/>
  <c r="M149" i="5"/>
  <c r="P149" i="5" s="1"/>
  <c r="P56" i="5"/>
  <c r="P328" i="5"/>
  <c r="M402" i="5"/>
  <c r="P402" i="5" s="1"/>
  <c r="P55" i="5"/>
  <c r="K364" i="6"/>
  <c r="M446" i="6"/>
  <c r="P446" i="6" s="1"/>
  <c r="P59" i="6"/>
  <c r="O279" i="5"/>
  <c r="L30" i="7"/>
  <c r="L28" i="7" s="1"/>
  <c r="O28" i="7" s="1"/>
  <c r="L402" i="7"/>
  <c r="O402" i="7" s="1"/>
  <c r="O167" i="7"/>
  <c r="O277" i="5"/>
  <c r="M328" i="7"/>
  <c r="P328" i="7" s="1"/>
  <c r="M345" i="7"/>
  <c r="P345" i="7" s="1"/>
  <c r="N277" i="7"/>
  <c r="O277" i="7" s="1"/>
  <c r="I418" i="7"/>
  <c r="K418" i="7" s="1"/>
  <c r="K434" i="7"/>
  <c r="L31" i="7"/>
  <c r="O31" i="7" s="1"/>
  <c r="N526" i="1"/>
  <c r="P526" i="1" s="1"/>
  <c r="O151" i="7"/>
  <c r="N149" i="7"/>
  <c r="L345" i="7"/>
  <c r="O345" i="7" s="1"/>
  <c r="O347" i="7"/>
  <c r="O317" i="7"/>
  <c r="L315" i="7"/>
  <c r="O315" i="7" s="1"/>
  <c r="P279" i="7"/>
  <c r="M277" i="7"/>
  <c r="K235" i="1"/>
  <c r="L444" i="6"/>
  <c r="O444" i="6" s="1"/>
  <c r="P165" i="6"/>
  <c r="P300" i="6"/>
  <c r="O43" i="7"/>
  <c r="O280" i="7"/>
  <c r="L523" i="7"/>
  <c r="O523" i="7" s="1"/>
  <c r="O525" i="7"/>
  <c r="L34" i="7"/>
  <c r="O34" i="7" s="1"/>
  <c r="O36" i="7"/>
  <c r="O263" i="7"/>
  <c r="N261" i="7"/>
  <c r="P55" i="7"/>
  <c r="L227" i="6"/>
  <c r="L544" i="6"/>
  <c r="O544" i="6" s="1"/>
  <c r="P167" i="6"/>
  <c r="P151" i="7"/>
  <c r="N629" i="7"/>
  <c r="P167" i="7"/>
  <c r="L41" i="7"/>
  <c r="K364" i="3"/>
  <c r="M467" i="3"/>
  <c r="P467" i="3" s="1"/>
  <c r="N24" i="4"/>
  <c r="P24" i="4" s="1"/>
  <c r="P347" i="4"/>
  <c r="M687" i="6"/>
  <c r="M685" i="6" s="1"/>
  <c r="P685" i="6" s="1"/>
  <c r="O277" i="6"/>
  <c r="L165" i="6"/>
  <c r="O165" i="6" s="1"/>
  <c r="O263" i="6"/>
  <c r="O631" i="7"/>
  <c r="P547" i="7"/>
  <c r="K559" i="7"/>
  <c r="J543" i="7"/>
  <c r="K543" i="7" s="1"/>
  <c r="N9" i="7"/>
  <c r="M9" i="7"/>
  <c r="P12" i="7"/>
  <c r="P26" i="7"/>
  <c r="M16" i="7"/>
  <c r="M24" i="7"/>
  <c r="P24" i="7" s="1"/>
  <c r="O152" i="7"/>
  <c r="K364" i="2"/>
  <c r="O546" i="7"/>
  <c r="P546" i="7"/>
  <c r="M30" i="1"/>
  <c r="M28" i="1" s="1"/>
  <c r="M444" i="3"/>
  <c r="P444" i="3" s="1"/>
  <c r="O167" i="4"/>
  <c r="P690" i="6"/>
  <c r="L629" i="7"/>
  <c r="K364" i="7"/>
  <c r="P632" i="7"/>
  <c r="O264" i="7"/>
  <c r="P404" i="7"/>
  <c r="M402" i="7"/>
  <c r="P402" i="7" s="1"/>
  <c r="P330" i="2"/>
  <c r="L629" i="6"/>
  <c r="O629" i="6" s="1"/>
  <c r="O279" i="1"/>
  <c r="L132" i="3"/>
  <c r="O132" i="3" s="1"/>
  <c r="M315" i="4"/>
  <c r="P315" i="4" s="1"/>
  <c r="O68" i="5"/>
  <c r="O183" i="4"/>
  <c r="O347" i="6"/>
  <c r="P121" i="6"/>
  <c r="O788" i="6"/>
  <c r="O419" i="7"/>
  <c r="P23" i="7"/>
  <c r="M20" i="7"/>
  <c r="P469" i="7"/>
  <c r="M467" i="7"/>
  <c r="P467" i="7" s="1"/>
  <c r="N165" i="7"/>
  <c r="O165" i="7" s="1"/>
  <c r="K76" i="7"/>
  <c r="I64" i="7"/>
  <c r="K64" i="7" s="1"/>
  <c r="O19" i="7"/>
  <c r="P29" i="7"/>
  <c r="O26" i="7"/>
  <c r="L16" i="7"/>
  <c r="L24" i="7"/>
  <c r="O24" i="7" s="1"/>
  <c r="J592" i="7"/>
  <c r="K592" i="7" s="1"/>
  <c r="K593" i="7"/>
  <c r="P19" i="7"/>
  <c r="P41" i="7"/>
  <c r="K112" i="1"/>
  <c r="P791" i="7"/>
  <c r="M788" i="7"/>
  <c r="M789" i="7"/>
  <c r="P789" i="7" s="1"/>
  <c r="O446" i="7"/>
  <c r="L444" i="7"/>
  <c r="O23" i="7"/>
  <c r="L20" i="7"/>
  <c r="L13" i="7"/>
  <c r="L11" i="7" s="1"/>
  <c r="L21" i="7"/>
  <c r="O21" i="7" s="1"/>
  <c r="O330" i="2"/>
  <c r="P68" i="5"/>
  <c r="K522" i="6"/>
  <c r="O330" i="6"/>
  <c r="O470" i="7"/>
  <c r="N544" i="7"/>
  <c r="N414" i="7" s="1"/>
  <c r="M419" i="7"/>
  <c r="O90" i="7"/>
  <c r="L88" i="7"/>
  <c r="O12" i="7"/>
  <c r="L9" i="7"/>
  <c r="M21" i="7"/>
  <c r="P21" i="7" s="1"/>
  <c r="P43" i="7"/>
  <c r="K559" i="4"/>
  <c r="L34" i="4"/>
  <c r="O34" i="4" s="1"/>
  <c r="P91" i="5"/>
  <c r="M315" i="5"/>
  <c r="P315" i="5" s="1"/>
  <c r="P56" i="6"/>
  <c r="O279" i="3"/>
  <c r="P91" i="4"/>
  <c r="M181" i="6"/>
  <c r="P181" i="6" s="1"/>
  <c r="P330" i="3"/>
  <c r="P298" i="6"/>
  <c r="L523" i="5"/>
  <c r="O523" i="5" s="1"/>
  <c r="I64" i="6"/>
  <c r="K64" i="6" s="1"/>
  <c r="K76" i="6"/>
  <c r="N261" i="6"/>
  <c r="P261" i="6" s="1"/>
  <c r="L132" i="6"/>
  <c r="O132" i="6" s="1"/>
  <c r="N88" i="6"/>
  <c r="P88" i="6" s="1"/>
  <c r="O33" i="6"/>
  <c r="L30" i="6"/>
  <c r="O30" i="6" s="1"/>
  <c r="P404" i="6"/>
  <c r="M402" i="6"/>
  <c r="P402" i="6" s="1"/>
  <c r="P43" i="4"/>
  <c r="O525" i="6"/>
  <c r="L523" i="6"/>
  <c r="O523" i="6" s="1"/>
  <c r="M132" i="4"/>
  <c r="P132" i="4" s="1"/>
  <c r="K288" i="6"/>
  <c r="O90" i="6"/>
  <c r="L24" i="6"/>
  <c r="L16" i="6"/>
  <c r="L14" i="6" s="1"/>
  <c r="O279" i="6"/>
  <c r="N41" i="4"/>
  <c r="O41" i="4" s="1"/>
  <c r="O687" i="4"/>
  <c r="L66" i="5"/>
  <c r="O66" i="5" s="1"/>
  <c r="O44" i="5"/>
  <c r="M345" i="6"/>
  <c r="P345" i="6" s="1"/>
  <c r="P125" i="6"/>
  <c r="P472" i="6"/>
  <c r="M470" i="6"/>
  <c r="P470" i="6" s="1"/>
  <c r="P546" i="6"/>
  <c r="M544" i="6"/>
  <c r="P544" i="6" s="1"/>
  <c r="O632" i="3"/>
  <c r="O43" i="3"/>
  <c r="O331" i="3"/>
  <c r="K434" i="3"/>
  <c r="L132" i="4"/>
  <c r="O132" i="4" s="1"/>
  <c r="P23" i="4"/>
  <c r="O687" i="5"/>
  <c r="I164" i="5"/>
  <c r="K164" i="5" s="1"/>
  <c r="K433" i="5"/>
  <c r="P88" i="5"/>
  <c r="O688" i="6"/>
  <c r="M328" i="6"/>
  <c r="P328" i="6" s="1"/>
  <c r="L389" i="6"/>
  <c r="O389" i="6" s="1"/>
  <c r="L13" i="6"/>
  <c r="O23" i="6"/>
  <c r="L20" i="6"/>
  <c r="O12" i="6"/>
  <c r="L9" i="6"/>
  <c r="P279" i="6"/>
  <c r="M277" i="6"/>
  <c r="P277" i="6" s="1"/>
  <c r="N14" i="6"/>
  <c r="M66" i="6"/>
  <c r="P66" i="6" s="1"/>
  <c r="P469" i="6"/>
  <c r="M467" i="6"/>
  <c r="P467" i="6" s="1"/>
  <c r="K237" i="6"/>
  <c r="I226" i="6"/>
  <c r="N149" i="6"/>
  <c r="O149" i="6" s="1"/>
  <c r="P151" i="6"/>
  <c r="O151" i="6"/>
  <c r="M389" i="6"/>
  <c r="P389" i="6" s="1"/>
  <c r="L419" i="6"/>
  <c r="N41" i="6"/>
  <c r="O43" i="6"/>
  <c r="P44" i="6"/>
  <c r="M16" i="6"/>
  <c r="P16" i="6" s="1"/>
  <c r="P26" i="6"/>
  <c r="O29" i="6"/>
  <c r="O26" i="6"/>
  <c r="M24" i="6"/>
  <c r="O345" i="4"/>
  <c r="P23" i="6"/>
  <c r="M21" i="6"/>
  <c r="M20" i="6"/>
  <c r="M422" i="6"/>
  <c r="P422" i="6" s="1"/>
  <c r="M421" i="6"/>
  <c r="M33" i="6"/>
  <c r="M13" i="6" s="1"/>
  <c r="M11" i="6" s="1"/>
  <c r="P424" i="6"/>
  <c r="I164" i="6"/>
  <c r="K164" i="6" s="1"/>
  <c r="K174" i="6"/>
  <c r="P43" i="6"/>
  <c r="P12" i="6"/>
  <c r="M9" i="6"/>
  <c r="P15" i="6"/>
  <c r="L467" i="6"/>
  <c r="O467" i="6" s="1"/>
  <c r="O301" i="6"/>
  <c r="O264" i="6"/>
  <c r="N20" i="6"/>
  <c r="N18" i="6" s="1"/>
  <c r="N13" i="6"/>
  <c r="N21" i="6"/>
  <c r="O21" i="6" s="1"/>
  <c r="N119" i="6"/>
  <c r="P119" i="6" s="1"/>
  <c r="L53" i="6"/>
  <c r="O53" i="6" s="1"/>
  <c r="K365" i="5"/>
  <c r="J417" i="6"/>
  <c r="K417" i="6" s="1"/>
  <c r="K433" i="6"/>
  <c r="P29" i="6"/>
  <c r="N24" i="6"/>
  <c r="O121" i="6"/>
  <c r="L119" i="6"/>
  <c r="N277" i="2"/>
  <c r="O277" i="2" s="1"/>
  <c r="P59" i="3"/>
  <c r="O544" i="4"/>
  <c r="O657" i="4"/>
  <c r="P634" i="4"/>
  <c r="O330" i="4"/>
  <c r="M467" i="5"/>
  <c r="P467" i="5" s="1"/>
  <c r="L119" i="5"/>
  <c r="O119" i="5" s="1"/>
  <c r="O43" i="5"/>
  <c r="O263" i="5"/>
  <c r="P300" i="5"/>
  <c r="O53" i="5"/>
  <c r="P470" i="2"/>
  <c r="L544" i="5"/>
  <c r="O544" i="5" s="1"/>
  <c r="O90" i="5"/>
  <c r="K417" i="5"/>
  <c r="P330" i="5"/>
  <c r="P263" i="5"/>
  <c r="P21" i="5"/>
  <c r="O300" i="5"/>
  <c r="M469" i="2"/>
  <c r="P469" i="2" s="1"/>
  <c r="O183" i="3"/>
  <c r="L444" i="4"/>
  <c r="O444" i="4" s="1"/>
  <c r="O280" i="4"/>
  <c r="M16" i="4"/>
  <c r="P16" i="4" s="1"/>
  <c r="K275" i="2"/>
  <c r="L655" i="2"/>
  <c r="O655" i="2" s="1"/>
  <c r="P549" i="4"/>
  <c r="O181" i="4"/>
  <c r="N261" i="4"/>
  <c r="O261" i="4" s="1"/>
  <c r="M119" i="5"/>
  <c r="P119" i="5" s="1"/>
  <c r="O23" i="5"/>
  <c r="O328" i="5"/>
  <c r="P90" i="5"/>
  <c r="O317" i="5"/>
  <c r="L315" i="5"/>
  <c r="O315" i="5" s="1"/>
  <c r="L786" i="4"/>
  <c r="O786" i="4" s="1"/>
  <c r="L88" i="5"/>
  <c r="O88" i="5" s="1"/>
  <c r="P53" i="5"/>
  <c r="O69" i="5"/>
  <c r="O55" i="5"/>
  <c r="L31" i="5"/>
  <c r="O31" i="5" s="1"/>
  <c r="L30" i="5"/>
  <c r="O30" i="5" s="1"/>
  <c r="O33" i="5"/>
  <c r="O298" i="5"/>
  <c r="O446" i="3"/>
  <c r="M546" i="4"/>
  <c r="M544" i="4" s="1"/>
  <c r="P544" i="4" s="1"/>
  <c r="O277" i="4"/>
  <c r="L786" i="5"/>
  <c r="O786" i="5" s="1"/>
  <c r="O301" i="5"/>
  <c r="O21" i="5"/>
  <c r="L786" i="2"/>
  <c r="O786" i="2" s="1"/>
  <c r="O88" i="3"/>
  <c r="M41" i="4"/>
  <c r="L41" i="5"/>
  <c r="O41" i="5" s="1"/>
  <c r="M687" i="5"/>
  <c r="P690" i="5"/>
  <c r="M688" i="5"/>
  <c r="P688" i="5" s="1"/>
  <c r="O631" i="5"/>
  <c r="L629" i="5"/>
  <c r="O629" i="5" s="1"/>
  <c r="K288" i="5"/>
  <c r="L13" i="5"/>
  <c r="L11" i="5" s="1"/>
  <c r="K77" i="5"/>
  <c r="I65" i="5"/>
  <c r="K65" i="5" s="1"/>
  <c r="N165" i="5"/>
  <c r="P167" i="5"/>
  <c r="O19" i="5"/>
  <c r="N181" i="5"/>
  <c r="P181" i="5" s="1"/>
  <c r="P183" i="5"/>
  <c r="N631" i="1"/>
  <c r="P631" i="1" s="1"/>
  <c r="P26" i="1"/>
  <c r="O181" i="2"/>
  <c r="O183" i="2"/>
  <c r="M632" i="4"/>
  <c r="P632" i="4" s="1"/>
  <c r="P631" i="4"/>
  <c r="L165" i="4"/>
  <c r="O165" i="4" s="1"/>
  <c r="M422" i="5"/>
  <c r="P422" i="5" s="1"/>
  <c r="P424" i="5"/>
  <c r="M421" i="5"/>
  <c r="M33" i="5"/>
  <c r="M13" i="5" s="1"/>
  <c r="M11" i="5" s="1"/>
  <c r="M546" i="5"/>
  <c r="P546" i="5" s="1"/>
  <c r="M547" i="5"/>
  <c r="P547" i="5" s="1"/>
  <c r="P549" i="5"/>
  <c r="P660" i="5"/>
  <c r="M657" i="5"/>
  <c r="M658" i="5"/>
  <c r="P658" i="5" s="1"/>
  <c r="O404" i="5"/>
  <c r="L402" i="5"/>
  <c r="O402" i="5" s="1"/>
  <c r="O238" i="5"/>
  <c r="L227" i="5"/>
  <c r="K364" i="5"/>
  <c r="O29" i="5"/>
  <c r="P26" i="5"/>
  <c r="M16" i="5"/>
  <c r="O331" i="5"/>
  <c r="M24" i="5"/>
  <c r="O347" i="2"/>
  <c r="P277" i="4"/>
  <c r="P545" i="5"/>
  <c r="O151" i="5"/>
  <c r="L149" i="5"/>
  <c r="O149" i="5" s="1"/>
  <c r="I64" i="5"/>
  <c r="K64" i="5" s="1"/>
  <c r="K76" i="5"/>
  <c r="M421" i="4"/>
  <c r="M419" i="4" s="1"/>
  <c r="M422" i="4"/>
  <c r="M345" i="5"/>
  <c r="P345" i="5" s="1"/>
  <c r="K237" i="5"/>
  <c r="I226" i="5"/>
  <c r="P19" i="5"/>
  <c r="P23" i="5"/>
  <c r="M20" i="5"/>
  <c r="M18" i="5" s="1"/>
  <c r="P280" i="4"/>
  <c r="M33" i="4"/>
  <c r="M30" i="4" s="1"/>
  <c r="M28" i="4" s="1"/>
  <c r="L389" i="5"/>
  <c r="O389" i="5" s="1"/>
  <c r="O183" i="5"/>
  <c r="L181" i="5"/>
  <c r="I131" i="5"/>
  <c r="K131" i="5" s="1"/>
  <c r="K143" i="5"/>
  <c r="N24" i="5"/>
  <c r="N16" i="5"/>
  <c r="N14" i="5" s="1"/>
  <c r="L16" i="5"/>
  <c r="O26" i="5"/>
  <c r="L24" i="5"/>
  <c r="O15" i="5"/>
  <c r="P44" i="1"/>
  <c r="P134" i="5"/>
  <c r="M132" i="5"/>
  <c r="P132" i="5" s="1"/>
  <c r="O167" i="5"/>
  <c r="P449" i="5"/>
  <c r="M446" i="5"/>
  <c r="M447" i="5"/>
  <c r="P447" i="5" s="1"/>
  <c r="N20" i="5"/>
  <c r="N18" i="5" s="1"/>
  <c r="N13" i="5"/>
  <c r="P59" i="5"/>
  <c r="P12" i="5"/>
  <c r="M9" i="5"/>
  <c r="M685" i="4"/>
  <c r="P685" i="4" s="1"/>
  <c r="P55" i="4"/>
  <c r="O55" i="4"/>
  <c r="K559" i="5"/>
  <c r="I543" i="5"/>
  <c r="K543" i="5" s="1"/>
  <c r="K434" i="5"/>
  <c r="I418" i="5"/>
  <c r="K418" i="5" s="1"/>
  <c r="L345" i="5"/>
  <c r="O345" i="5" s="1"/>
  <c r="L9" i="5"/>
  <c r="O12" i="5"/>
  <c r="M261" i="5"/>
  <c r="P261" i="5" s="1"/>
  <c r="P41" i="5"/>
  <c r="L66" i="2"/>
  <c r="O66" i="2" s="1"/>
  <c r="L149" i="3"/>
  <c r="O149" i="3" s="1"/>
  <c r="M345" i="4"/>
  <c r="P345" i="4" s="1"/>
  <c r="O347" i="4"/>
  <c r="P181" i="2"/>
  <c r="P472" i="2"/>
  <c r="O134" i="2"/>
  <c r="M315" i="3"/>
  <c r="P315" i="3" s="1"/>
  <c r="L328" i="4"/>
  <c r="O328" i="4" s="1"/>
  <c r="K654" i="4"/>
  <c r="L88" i="4"/>
  <c r="O88" i="4" s="1"/>
  <c r="P279" i="4"/>
  <c r="N227" i="1"/>
  <c r="P300" i="4"/>
  <c r="M298" i="4"/>
  <c r="P298" i="4" s="1"/>
  <c r="P261" i="2"/>
  <c r="K417" i="3"/>
  <c r="M328" i="3"/>
  <c r="P328" i="3" s="1"/>
  <c r="M119" i="4"/>
  <c r="P119" i="4" s="1"/>
  <c r="L53" i="4"/>
  <c r="O53" i="4" s="1"/>
  <c r="O279" i="4"/>
  <c r="M20" i="4"/>
  <c r="M18" i="4" s="1"/>
  <c r="O546" i="3"/>
  <c r="L119" i="4"/>
  <c r="O119" i="4" s="1"/>
  <c r="P263" i="4"/>
  <c r="M261" i="4"/>
  <c r="O544" i="3"/>
  <c r="K275" i="3"/>
  <c r="L523" i="4"/>
  <c r="O523" i="4" s="1"/>
  <c r="L227" i="4"/>
  <c r="M53" i="4"/>
  <c r="P53" i="4" s="1"/>
  <c r="O331" i="4"/>
  <c r="P183" i="3"/>
  <c r="L298" i="4"/>
  <c r="O298" i="4" s="1"/>
  <c r="L345" i="2"/>
  <c r="O345" i="2" s="1"/>
  <c r="K785" i="1"/>
  <c r="J364" i="4"/>
  <c r="K364" i="4" s="1"/>
  <c r="L16" i="4"/>
  <c r="O16" i="4" s="1"/>
  <c r="O26" i="4"/>
  <c r="N9" i="4"/>
  <c r="P331" i="2"/>
  <c r="O263" i="3"/>
  <c r="L30" i="2"/>
  <c r="L28" i="2" s="1"/>
  <c r="P88" i="3"/>
  <c r="O66" i="3"/>
  <c r="P43" i="3"/>
  <c r="O56" i="3"/>
  <c r="N655" i="4"/>
  <c r="I226" i="4"/>
  <c r="K248" i="4"/>
  <c r="O655" i="4"/>
  <c r="P657" i="4"/>
  <c r="N421" i="4"/>
  <c r="N422" i="4"/>
  <c r="P424" i="4"/>
  <c r="N33" i="4"/>
  <c r="L30" i="4"/>
  <c r="L31" i="4"/>
  <c r="P183" i="4"/>
  <c r="M181" i="4"/>
  <c r="P181" i="4" s="1"/>
  <c r="I131" i="4"/>
  <c r="K131" i="4" s="1"/>
  <c r="K143" i="4"/>
  <c r="P391" i="4"/>
  <c r="M389" i="4"/>
  <c r="P389" i="4" s="1"/>
  <c r="N21" i="4"/>
  <c r="O21" i="4" s="1"/>
  <c r="N20" i="4"/>
  <c r="N13" i="4"/>
  <c r="L34" i="2"/>
  <c r="O34" i="2" s="1"/>
  <c r="P449" i="3"/>
  <c r="O23" i="4"/>
  <c r="L20" i="4"/>
  <c r="L18" i="4" s="1"/>
  <c r="L13" i="4"/>
  <c r="P15" i="4"/>
  <c r="K433" i="4"/>
  <c r="M9" i="4"/>
  <c r="P330" i="4"/>
  <c r="M328" i="4"/>
  <c r="P328" i="4" s="1"/>
  <c r="M447" i="3"/>
  <c r="P447" i="3" s="1"/>
  <c r="O631" i="3"/>
  <c r="L389" i="3"/>
  <c r="O389" i="3" s="1"/>
  <c r="L315" i="4"/>
  <c r="O315" i="4" s="1"/>
  <c r="P469" i="4"/>
  <c r="M467" i="4"/>
  <c r="P467" i="4" s="1"/>
  <c r="O19" i="4"/>
  <c r="L24" i="4"/>
  <c r="K417" i="4"/>
  <c r="I418" i="4"/>
  <c r="K418" i="4" s="1"/>
  <c r="K434" i="4"/>
  <c r="K77" i="4"/>
  <c r="I65" i="4"/>
  <c r="K65" i="4" s="1"/>
  <c r="O687" i="2"/>
  <c r="P88" i="2"/>
  <c r="L328" i="3"/>
  <c r="O328" i="3" s="1"/>
  <c r="O421" i="4"/>
  <c r="P167" i="4"/>
  <c r="M165" i="4"/>
  <c r="P165" i="4" s="1"/>
  <c r="O15" i="4"/>
  <c r="L9" i="4"/>
  <c r="P29" i="4"/>
  <c r="O68" i="4"/>
  <c r="L66" i="4"/>
  <c r="P655" i="4"/>
  <c r="P151" i="4"/>
  <c r="M149" i="4"/>
  <c r="P149" i="4" s="1"/>
  <c r="O685" i="1"/>
  <c r="L261" i="3"/>
  <c r="O261" i="3" s="1"/>
  <c r="P280" i="3"/>
  <c r="O631" i="4"/>
  <c r="O470" i="4"/>
  <c r="P90" i="4"/>
  <c r="M88" i="4"/>
  <c r="P88" i="4" s="1"/>
  <c r="P26" i="4"/>
  <c r="O68" i="3"/>
  <c r="L402" i="1"/>
  <c r="O402" i="1" s="1"/>
  <c r="P632" i="2"/>
  <c r="O317" i="2"/>
  <c r="M402" i="3"/>
  <c r="P402" i="3" s="1"/>
  <c r="L16" i="3"/>
  <c r="L14" i="3" s="1"/>
  <c r="L467" i="3"/>
  <c r="O467" i="3" s="1"/>
  <c r="O469" i="3"/>
  <c r="K433" i="3"/>
  <c r="P685" i="1"/>
  <c r="L165" i="3"/>
  <c r="O165" i="3" s="1"/>
  <c r="P279" i="2"/>
  <c r="K288" i="3"/>
  <c r="O687" i="1"/>
  <c r="I131" i="1"/>
  <c r="K131" i="1" s="1"/>
  <c r="P660" i="2"/>
  <c r="L419" i="2"/>
  <c r="O419" i="2" s="1"/>
  <c r="O261" i="2"/>
  <c r="M657" i="2"/>
  <c r="P657" i="2" s="1"/>
  <c r="L30" i="3"/>
  <c r="L28" i="3" s="1"/>
  <c r="M419" i="2"/>
  <c r="P419" i="2" s="1"/>
  <c r="P421" i="2"/>
  <c r="N546" i="1"/>
  <c r="N544" i="1" s="1"/>
  <c r="P544" i="1" s="1"/>
  <c r="O690" i="1"/>
  <c r="L298" i="2"/>
  <c r="O298" i="2" s="1"/>
  <c r="L119" i="2"/>
  <c r="O119" i="2" s="1"/>
  <c r="P348" i="2"/>
  <c r="P183" i="2"/>
  <c r="O167" i="2"/>
  <c r="M544" i="3"/>
  <c r="P544" i="3" s="1"/>
  <c r="O421" i="3"/>
  <c r="L419" i="3"/>
  <c r="O419" i="3" s="1"/>
  <c r="L31" i="2"/>
  <c r="O31" i="2" s="1"/>
  <c r="M165" i="3"/>
  <c r="P165" i="3" s="1"/>
  <c r="N688" i="1"/>
  <c r="O688" i="1" s="1"/>
  <c r="P391" i="1"/>
  <c r="K233" i="1"/>
  <c r="O198" i="1"/>
  <c r="J594" i="1"/>
  <c r="K594" i="1" s="1"/>
  <c r="L402" i="2"/>
  <c r="O402" i="2" s="1"/>
  <c r="P44" i="2"/>
  <c r="L41" i="3"/>
  <c r="O41" i="3" s="1"/>
  <c r="N277" i="3"/>
  <c r="O277" i="3" s="1"/>
  <c r="L53" i="3"/>
  <c r="O53" i="3" s="1"/>
  <c r="M132" i="3"/>
  <c r="P132" i="3" s="1"/>
  <c r="P690" i="1"/>
  <c r="K537" i="2"/>
  <c r="M277" i="2"/>
  <c r="O165" i="2"/>
  <c r="P391" i="3"/>
  <c r="M389" i="3"/>
  <c r="P389" i="3" s="1"/>
  <c r="M632" i="3"/>
  <c r="P632" i="3" s="1"/>
  <c r="M631" i="3"/>
  <c r="P526" i="2"/>
  <c r="O300" i="3"/>
  <c r="L298" i="3"/>
  <c r="O298" i="3" s="1"/>
  <c r="P298" i="3"/>
  <c r="P9" i="3"/>
  <c r="O317" i="3"/>
  <c r="L315" i="3"/>
  <c r="O315" i="3" s="1"/>
  <c r="P121" i="3"/>
  <c r="M119" i="3"/>
  <c r="P119" i="3" s="1"/>
  <c r="P263" i="3"/>
  <c r="M261" i="3"/>
  <c r="P261" i="3" s="1"/>
  <c r="O317" i="1"/>
  <c r="M402" i="2"/>
  <c r="P402" i="2" s="1"/>
  <c r="M687" i="3"/>
  <c r="M688" i="3"/>
  <c r="P688" i="3" s="1"/>
  <c r="P690" i="3"/>
  <c r="M33" i="3"/>
  <c r="O525" i="3"/>
  <c r="L523" i="3"/>
  <c r="P421" i="3"/>
  <c r="M419" i="3"/>
  <c r="M181" i="3"/>
  <c r="P181" i="3" s="1"/>
  <c r="L402" i="3"/>
  <c r="O402" i="3" s="1"/>
  <c r="N30" i="3"/>
  <c r="O33" i="3"/>
  <c r="N31" i="3"/>
  <c r="O31" i="3" s="1"/>
  <c r="N16" i="3"/>
  <c r="N14" i="3" s="1"/>
  <c r="N24" i="3"/>
  <c r="O24" i="3" s="1"/>
  <c r="P90" i="3"/>
  <c r="K77" i="3"/>
  <c r="I65" i="3"/>
  <c r="K65" i="3" s="1"/>
  <c r="P68" i="3"/>
  <c r="M66" i="3"/>
  <c r="P66" i="3" s="1"/>
  <c r="O29" i="3"/>
  <c r="P151" i="1"/>
  <c r="L389" i="2"/>
  <c r="O389" i="2" s="1"/>
  <c r="O687" i="3"/>
  <c r="L685" i="3"/>
  <c r="O685" i="3" s="1"/>
  <c r="I164" i="3"/>
  <c r="K164" i="3" s="1"/>
  <c r="K174" i="3"/>
  <c r="M21" i="3"/>
  <c r="P23" i="3"/>
  <c r="M20" i="3"/>
  <c r="M24" i="3"/>
  <c r="P26" i="3"/>
  <c r="M16" i="3"/>
  <c r="M14" i="3" s="1"/>
  <c r="O528" i="1"/>
  <c r="O134" i="1"/>
  <c r="P167" i="2"/>
  <c r="M149" i="3"/>
  <c r="P149" i="3" s="1"/>
  <c r="I64" i="3"/>
  <c r="K64" i="3" s="1"/>
  <c r="K76" i="3"/>
  <c r="P55" i="3"/>
  <c r="M53" i="3"/>
  <c r="P53" i="3" s="1"/>
  <c r="L13" i="3"/>
  <c r="O23" i="3"/>
  <c r="L20" i="3"/>
  <c r="P41" i="3"/>
  <c r="K669" i="1"/>
  <c r="N525" i="1"/>
  <c r="N523" i="1" s="1"/>
  <c r="O330" i="1"/>
  <c r="O549" i="1"/>
  <c r="O119" i="1"/>
  <c r="P328" i="1"/>
  <c r="O263" i="2"/>
  <c r="K143" i="3"/>
  <c r="I131" i="3"/>
  <c r="K131" i="3" s="1"/>
  <c r="P29" i="3"/>
  <c r="M277" i="3"/>
  <c r="P279" i="3"/>
  <c r="L119" i="3"/>
  <c r="O119" i="3" s="1"/>
  <c r="N20" i="3"/>
  <c r="N18" i="3" s="1"/>
  <c r="N13" i="3"/>
  <c r="N21" i="3"/>
  <c r="O21" i="3" s="1"/>
  <c r="L227" i="3"/>
  <c r="O238" i="3"/>
  <c r="O26" i="3"/>
  <c r="P263" i="2"/>
  <c r="P347" i="3"/>
  <c r="O347" i="3"/>
  <c r="N345" i="3"/>
  <c r="P15" i="3"/>
  <c r="K237" i="3"/>
  <c r="I226" i="3"/>
  <c r="K559" i="3"/>
  <c r="I543" i="3"/>
  <c r="K543" i="3" s="1"/>
  <c r="P301" i="3"/>
  <c r="O301" i="3"/>
  <c r="P300" i="3"/>
  <c r="O90" i="3"/>
  <c r="O9" i="3"/>
  <c r="O424" i="1"/>
  <c r="N149" i="1"/>
  <c r="O149" i="1" s="1"/>
  <c r="N657" i="1"/>
  <c r="N655" i="1" s="1"/>
  <c r="O655" i="1" s="1"/>
  <c r="P660" i="1"/>
  <c r="N315" i="2"/>
  <c r="O315" i="2" s="1"/>
  <c r="M685" i="2"/>
  <c r="P685" i="2" s="1"/>
  <c r="O151" i="2"/>
  <c r="P634" i="1"/>
  <c r="K76" i="1"/>
  <c r="J593" i="1"/>
  <c r="K593" i="1" s="1"/>
  <c r="P149" i="2"/>
  <c r="O181" i="1"/>
  <c r="P424" i="2"/>
  <c r="M422" i="2"/>
  <c r="P422" i="2" s="1"/>
  <c r="P68" i="1"/>
  <c r="K418" i="1"/>
  <c r="M328" i="2"/>
  <c r="P328" i="2" s="1"/>
  <c r="O149" i="2"/>
  <c r="L523" i="2"/>
  <c r="O151" i="1"/>
  <c r="P165" i="2"/>
  <c r="P43" i="2"/>
  <c r="O53" i="2"/>
  <c r="K64" i="1"/>
  <c r="O55" i="2"/>
  <c r="P53" i="2"/>
  <c r="O634" i="1"/>
  <c r="K77" i="1"/>
  <c r="O263" i="1"/>
  <c r="N20" i="1"/>
  <c r="N18" i="1" s="1"/>
  <c r="P88" i="1"/>
  <c r="N41" i="2"/>
  <c r="P41" i="2" s="1"/>
  <c r="P55" i="2"/>
  <c r="P151" i="2"/>
  <c r="P347" i="1"/>
  <c r="K364" i="1"/>
  <c r="L132" i="1"/>
  <c r="O132" i="1" s="1"/>
  <c r="O301" i="1"/>
  <c r="O347" i="1"/>
  <c r="P317" i="2"/>
  <c r="K76" i="2"/>
  <c r="L544" i="2"/>
  <c r="O544" i="2" s="1"/>
  <c r="O546" i="2"/>
  <c r="P90" i="2"/>
  <c r="M132" i="2"/>
  <c r="P132" i="2" s="1"/>
  <c r="N629" i="2"/>
  <c r="P629" i="2" s="1"/>
  <c r="P631" i="2"/>
  <c r="O629" i="2"/>
  <c r="P449" i="2"/>
  <c r="M33" i="2"/>
  <c r="M13" i="2" s="1"/>
  <c r="M447" i="2"/>
  <c r="P447" i="2" s="1"/>
  <c r="M446" i="2"/>
  <c r="M389" i="2"/>
  <c r="P389" i="2" s="1"/>
  <c r="P391" i="2"/>
  <c r="L13" i="2"/>
  <c r="L11" i="2" s="1"/>
  <c r="O23" i="2"/>
  <c r="L20" i="2"/>
  <c r="K248" i="2"/>
  <c r="I226" i="2"/>
  <c r="N20" i="2"/>
  <c r="N18" i="2" s="1"/>
  <c r="N13" i="2"/>
  <c r="N21" i="2"/>
  <c r="P549" i="1"/>
  <c r="M24" i="1"/>
  <c r="P24" i="1" s="1"/>
  <c r="O217" i="1"/>
  <c r="N16" i="1"/>
  <c r="N14" i="1" s="1"/>
  <c r="P687" i="1"/>
  <c r="K65" i="1"/>
  <c r="O526" i="2"/>
  <c r="O447" i="2"/>
  <c r="L467" i="2"/>
  <c r="O467" i="2" s="1"/>
  <c r="O469" i="2"/>
  <c r="L444" i="2"/>
  <c r="O444" i="2" s="1"/>
  <c r="M119" i="2"/>
  <c r="P119" i="2" s="1"/>
  <c r="N24" i="2"/>
  <c r="P24" i="2" s="1"/>
  <c r="L88" i="2"/>
  <c r="O88" i="2" s="1"/>
  <c r="O90" i="2"/>
  <c r="N30" i="2"/>
  <c r="N31" i="2"/>
  <c r="O33" i="2"/>
  <c r="N21" i="1"/>
  <c r="P21" i="1" s="1"/>
  <c r="I417" i="2"/>
  <c r="K417" i="2" s="1"/>
  <c r="K433" i="2"/>
  <c r="P15" i="2"/>
  <c r="N14" i="2"/>
  <c r="O26" i="2"/>
  <c r="L16" i="2"/>
  <c r="O16" i="2" s="1"/>
  <c r="L24" i="2"/>
  <c r="L328" i="2"/>
  <c r="O328" i="2" s="1"/>
  <c r="O470" i="2"/>
  <c r="P347" i="2"/>
  <c r="M345" i="2"/>
  <c r="P345" i="2" s="1"/>
  <c r="L21" i="2"/>
  <c r="O15" i="2"/>
  <c r="P23" i="2"/>
  <c r="M21" i="2"/>
  <c r="M20" i="2"/>
  <c r="P12" i="2"/>
  <c r="M9" i="2"/>
  <c r="O472" i="1"/>
  <c r="N470" i="1"/>
  <c r="O470" i="1" s="1"/>
  <c r="L227" i="1"/>
  <c r="P632" i="1"/>
  <c r="M16" i="1"/>
  <c r="O631" i="2"/>
  <c r="O12" i="2"/>
  <c r="L9" i="2"/>
  <c r="K77" i="2"/>
  <c r="I65" i="2"/>
  <c r="K65" i="2" s="1"/>
  <c r="P318" i="2"/>
  <c r="N469" i="1"/>
  <c r="P469" i="1" s="1"/>
  <c r="P121" i="1"/>
  <c r="O183" i="1"/>
  <c r="P119" i="1"/>
  <c r="N523" i="2"/>
  <c r="P525" i="2"/>
  <c r="K434" i="2"/>
  <c r="I418" i="2"/>
  <c r="K418" i="2" s="1"/>
  <c r="M544" i="2"/>
  <c r="P544" i="2" s="1"/>
  <c r="P546" i="2"/>
  <c r="O238" i="2"/>
  <c r="L227" i="2"/>
  <c r="M66" i="2"/>
  <c r="P66" i="2" s="1"/>
  <c r="O29" i="2"/>
  <c r="P29" i="2"/>
  <c r="K143" i="2"/>
  <c r="I131" i="2"/>
  <c r="K131" i="2" s="1"/>
  <c r="M16" i="2"/>
  <c r="P16" i="2" s="1"/>
  <c r="P26" i="2"/>
  <c r="L389" i="1"/>
  <c r="O389" i="1" s="1"/>
  <c r="P43" i="1"/>
  <c r="O55" i="1"/>
  <c r="L315" i="1"/>
  <c r="O315" i="1" s="1"/>
  <c r="O121" i="1"/>
  <c r="O209" i="1"/>
  <c r="O53" i="1"/>
  <c r="O238" i="1"/>
  <c r="K675" i="1"/>
  <c r="O660" i="1"/>
  <c r="N422" i="1"/>
  <c r="N421" i="1"/>
  <c r="L345" i="1"/>
  <c r="O345" i="1" s="1"/>
  <c r="P330" i="1"/>
  <c r="I417" i="1"/>
  <c r="K417" i="1" s="1"/>
  <c r="K433" i="1"/>
  <c r="K434" i="1"/>
  <c r="O264" i="1"/>
  <c r="L328" i="1"/>
  <c r="O328" i="1" s="1"/>
  <c r="P55" i="1"/>
  <c r="M53" i="1"/>
  <c r="P53" i="1" s="1"/>
  <c r="P547" i="1"/>
  <c r="O36" i="1"/>
  <c r="L34" i="1"/>
  <c r="O34" i="1" s="1"/>
  <c r="P90" i="1"/>
  <c r="O184" i="1"/>
  <c r="M402" i="1"/>
  <c r="P402" i="1" s="1"/>
  <c r="P404" i="1"/>
  <c r="O167" i="1"/>
  <c r="L523" i="1"/>
  <c r="L629" i="1"/>
  <c r="P300" i="1"/>
  <c r="N298" i="1"/>
  <c r="P15" i="1"/>
  <c r="O280" i="1"/>
  <c r="L30" i="1"/>
  <c r="L28" i="1" s="1"/>
  <c r="P29" i="1"/>
  <c r="L31" i="1"/>
  <c r="P658" i="1"/>
  <c r="L786" i="1"/>
  <c r="M345" i="1"/>
  <c r="P345" i="1" s="1"/>
  <c r="P168" i="1"/>
  <c r="K237" i="1"/>
  <c r="I226" i="1"/>
  <c r="M13" i="1"/>
  <c r="M20" i="1"/>
  <c r="P23" i="1"/>
  <c r="O23" i="1"/>
  <c r="L20" i="1"/>
  <c r="L13" i="1"/>
  <c r="L11" i="1" s="1"/>
  <c r="L21" i="1"/>
  <c r="O12" i="1"/>
  <c r="L9" i="1"/>
  <c r="P91" i="1"/>
  <c r="J559" i="1"/>
  <c r="K576" i="1"/>
  <c r="N446" i="1"/>
  <c r="O446" i="1" s="1"/>
  <c r="N447" i="1"/>
  <c r="P449" i="1"/>
  <c r="N33" i="1"/>
  <c r="P134" i="1"/>
  <c r="M132" i="1"/>
  <c r="N66" i="1"/>
  <c r="P66" i="1" s="1"/>
  <c r="M315" i="1"/>
  <c r="P315" i="1" s="1"/>
  <c r="P317" i="1"/>
  <c r="P19" i="1"/>
  <c r="O44" i="1"/>
  <c r="O43" i="1"/>
  <c r="L444" i="1"/>
  <c r="O26" i="1"/>
  <c r="L16" i="1"/>
  <c r="L24" i="1"/>
  <c r="O24" i="1" s="1"/>
  <c r="L88" i="1"/>
  <c r="O88" i="1" s="1"/>
  <c r="O90" i="1"/>
  <c r="O29" i="1"/>
  <c r="O68" i="1"/>
  <c r="L66" i="1"/>
  <c r="P69" i="1"/>
  <c r="L544" i="1"/>
  <c r="O300" i="1"/>
  <c r="M181" i="1"/>
  <c r="P181" i="1" s="1"/>
  <c r="P183" i="1"/>
  <c r="M655" i="1"/>
  <c r="P279" i="1"/>
  <c r="N277" i="1"/>
  <c r="K174" i="1"/>
  <c r="I164" i="1"/>
  <c r="K164" i="1" s="1"/>
  <c r="N41" i="1"/>
  <c r="P263" i="1"/>
  <c r="N261" i="1"/>
  <c r="N788" i="1"/>
  <c r="O788" i="1" s="1"/>
  <c r="N789" i="1"/>
  <c r="P789" i="1" s="1"/>
  <c r="P791" i="1"/>
  <c r="P167" i="1"/>
  <c r="N165" i="1"/>
  <c r="M9" i="1"/>
  <c r="L28" i="20" l="1"/>
  <c r="O28" i="20" s="1"/>
  <c r="N37" i="21"/>
  <c r="P328" i="21"/>
  <c r="P53" i="20"/>
  <c r="I180" i="19"/>
  <c r="K180" i="19" s="1"/>
  <c r="O66" i="20"/>
  <c r="P261" i="15"/>
  <c r="N10" i="16"/>
  <c r="N8" i="16" s="1"/>
  <c r="O14" i="16"/>
  <c r="O16" i="16"/>
  <c r="O88" i="18"/>
  <c r="P16" i="21"/>
  <c r="N11" i="21"/>
  <c r="O11" i="21" s="1"/>
  <c r="P421" i="20"/>
  <c r="L28" i="17"/>
  <c r="O28" i="17" s="1"/>
  <c r="I180" i="14"/>
  <c r="K180" i="14" s="1"/>
  <c r="M14" i="20"/>
  <c r="P14" i="20" s="1"/>
  <c r="P14" i="21"/>
  <c r="O30" i="16"/>
  <c r="O53" i="19"/>
  <c r="O149" i="15"/>
  <c r="L28" i="21"/>
  <c r="O28" i="21" s="1"/>
  <c r="N8" i="21"/>
  <c r="O24" i="21"/>
  <c r="P18" i="21"/>
  <c r="P687" i="21"/>
  <c r="M685" i="21"/>
  <c r="P685" i="21" s="1"/>
  <c r="P788" i="21"/>
  <c r="M786" i="21"/>
  <c r="P786" i="21" s="1"/>
  <c r="P33" i="21"/>
  <c r="M30" i="21"/>
  <c r="M31" i="21"/>
  <c r="P31" i="21" s="1"/>
  <c r="L18" i="21"/>
  <c r="O18" i="21" s="1"/>
  <c r="O20" i="21"/>
  <c r="P446" i="21"/>
  <c r="M444" i="21"/>
  <c r="P657" i="21"/>
  <c r="M655" i="21"/>
  <c r="P655" i="21" s="1"/>
  <c r="O444" i="21"/>
  <c r="L414" i="21"/>
  <c r="P21" i="19"/>
  <c r="I180" i="21"/>
  <c r="K180" i="21" s="1"/>
  <c r="K226" i="21"/>
  <c r="P53" i="21"/>
  <c r="M37" i="21"/>
  <c r="O13" i="21"/>
  <c r="P544" i="21"/>
  <c r="L37" i="21"/>
  <c r="P631" i="21"/>
  <c r="M629" i="21"/>
  <c r="P629" i="21" s="1"/>
  <c r="M13" i="21"/>
  <c r="L10" i="21"/>
  <c r="O10" i="21" s="1"/>
  <c r="O9" i="21"/>
  <c r="P20" i="21"/>
  <c r="L14" i="21"/>
  <c r="O14" i="21" s="1"/>
  <c r="N414" i="21"/>
  <c r="P24" i="19"/>
  <c r="M444" i="19"/>
  <c r="P444" i="19" s="1"/>
  <c r="O24" i="20"/>
  <c r="P298" i="20"/>
  <c r="N37" i="20"/>
  <c r="P446" i="20"/>
  <c r="M444" i="20"/>
  <c r="P444" i="20" s="1"/>
  <c r="O16" i="20"/>
  <c r="L14" i="20"/>
  <c r="O14" i="20" s="1"/>
  <c r="P24" i="17"/>
  <c r="L28" i="18"/>
  <c r="O28" i="18" s="1"/>
  <c r="P21" i="20"/>
  <c r="P24" i="20"/>
  <c r="P21" i="12"/>
  <c r="O419" i="20"/>
  <c r="L414" i="20"/>
  <c r="O414" i="20" s="1"/>
  <c r="P20" i="20"/>
  <c r="M18" i="20"/>
  <c r="P18" i="20" s="1"/>
  <c r="P13" i="20"/>
  <c r="M10" i="20"/>
  <c r="M8" i="20" s="1"/>
  <c r="M11" i="20"/>
  <c r="P20" i="19"/>
  <c r="M37" i="20"/>
  <c r="N414" i="20"/>
  <c r="P419" i="20"/>
  <c r="O88" i="20"/>
  <c r="L37" i="20"/>
  <c r="P469" i="20"/>
  <c r="M467" i="20"/>
  <c r="O13" i="20"/>
  <c r="L10" i="20"/>
  <c r="L11" i="20"/>
  <c r="P9" i="20"/>
  <c r="N37" i="15"/>
  <c r="O20" i="20"/>
  <c r="L18" i="20"/>
  <c r="O18" i="20" s="1"/>
  <c r="N10" i="20"/>
  <c r="N8" i="20" s="1"/>
  <c r="N11" i="20"/>
  <c r="P33" i="20"/>
  <c r="M30" i="20"/>
  <c r="M31" i="20"/>
  <c r="P31" i="20" s="1"/>
  <c r="P421" i="12"/>
  <c r="I180" i="18"/>
  <c r="K180" i="18" s="1"/>
  <c r="M685" i="18"/>
  <c r="P685" i="18" s="1"/>
  <c r="O13" i="18"/>
  <c r="P14" i="18"/>
  <c r="P421" i="19"/>
  <c r="M419" i="19"/>
  <c r="O41" i="19"/>
  <c r="L37" i="19"/>
  <c r="P13" i="19"/>
  <c r="M10" i="19"/>
  <c r="M8" i="19" s="1"/>
  <c r="M37" i="19"/>
  <c r="O30" i="19"/>
  <c r="L28" i="19"/>
  <c r="O28" i="19" s="1"/>
  <c r="P66" i="19"/>
  <c r="N37" i="19"/>
  <c r="N14" i="19"/>
  <c r="P14" i="19" s="1"/>
  <c r="N10" i="19"/>
  <c r="N8" i="19" s="1"/>
  <c r="P9" i="19"/>
  <c r="P16" i="19"/>
  <c r="O13" i="19"/>
  <c r="L10" i="19"/>
  <c r="L11" i="19"/>
  <c r="O11" i="19" s="1"/>
  <c r="P657" i="19"/>
  <c r="M655" i="19"/>
  <c r="P655" i="19" s="1"/>
  <c r="M30" i="19"/>
  <c r="P33" i="19"/>
  <c r="M31" i="19"/>
  <c r="P31" i="19" s="1"/>
  <c r="O24" i="19"/>
  <c r="M18" i="19"/>
  <c r="P18" i="19" s="1"/>
  <c r="P20" i="17"/>
  <c r="O20" i="19"/>
  <c r="L18" i="19"/>
  <c r="O18" i="19" s="1"/>
  <c r="M11" i="19"/>
  <c r="P11" i="19" s="1"/>
  <c r="O419" i="19"/>
  <c r="L414" i="19"/>
  <c r="O414" i="19" s="1"/>
  <c r="O16" i="19"/>
  <c r="L14" i="19"/>
  <c r="P277" i="14"/>
  <c r="M18" i="17"/>
  <c r="P18" i="17" s="1"/>
  <c r="O328" i="18"/>
  <c r="P24" i="18"/>
  <c r="L414" i="18"/>
  <c r="O414" i="18" s="1"/>
  <c r="L414" i="16"/>
  <c r="O414" i="16" s="1"/>
  <c r="P24" i="15"/>
  <c r="O24" i="15"/>
  <c r="N10" i="18"/>
  <c r="N8" i="18" s="1"/>
  <c r="O24" i="16"/>
  <c r="P20" i="18"/>
  <c r="O11" i="18"/>
  <c r="M30" i="18"/>
  <c r="P33" i="18"/>
  <c r="M13" i="18"/>
  <c r="M31" i="18"/>
  <c r="P31" i="18" s="1"/>
  <c r="P16" i="18"/>
  <c r="O20" i="18"/>
  <c r="P446" i="18"/>
  <c r="M444" i="18"/>
  <c r="P9" i="18"/>
  <c r="O16" i="18"/>
  <c r="M18" i="18"/>
  <c r="P18" i="18" s="1"/>
  <c r="L10" i="18"/>
  <c r="L37" i="18"/>
  <c r="O24" i="18"/>
  <c r="M37" i="18"/>
  <c r="P41" i="18"/>
  <c r="P20" i="16"/>
  <c r="O9" i="18"/>
  <c r="P788" i="18"/>
  <c r="M786" i="18"/>
  <c r="P786" i="18" s="1"/>
  <c r="O53" i="18"/>
  <c r="N37" i="18"/>
  <c r="L14" i="18"/>
  <c r="O14" i="18" s="1"/>
  <c r="L18" i="18"/>
  <c r="O18" i="18" s="1"/>
  <c r="O24" i="17"/>
  <c r="L10" i="17"/>
  <c r="L8" i="17" s="1"/>
  <c r="L11" i="17"/>
  <c r="O11" i="17" s="1"/>
  <c r="O13" i="17"/>
  <c r="P631" i="17"/>
  <c r="M629" i="17"/>
  <c r="P629" i="17" s="1"/>
  <c r="O31" i="15"/>
  <c r="O18" i="17"/>
  <c r="O20" i="17"/>
  <c r="O16" i="17"/>
  <c r="N14" i="17"/>
  <c r="O14" i="17" s="1"/>
  <c r="P469" i="17"/>
  <c r="M467" i="17"/>
  <c r="P467" i="17" s="1"/>
  <c r="L414" i="17"/>
  <c r="O414" i="17" s="1"/>
  <c r="O419" i="17"/>
  <c r="P33" i="17"/>
  <c r="M31" i="17"/>
  <c r="P31" i="17" s="1"/>
  <c r="M30" i="17"/>
  <c r="M13" i="17"/>
  <c r="L37" i="17"/>
  <c r="O37" i="17" s="1"/>
  <c r="O41" i="17"/>
  <c r="P657" i="17"/>
  <c r="M655" i="17"/>
  <c r="P655" i="17" s="1"/>
  <c r="P687" i="17"/>
  <c r="M685" i="17"/>
  <c r="P685" i="17" s="1"/>
  <c r="P421" i="17"/>
  <c r="M419" i="17"/>
  <c r="P9" i="17"/>
  <c r="P446" i="17"/>
  <c r="M444" i="17"/>
  <c r="P444" i="17" s="1"/>
  <c r="O21" i="15"/>
  <c r="M37" i="17"/>
  <c r="P37" i="17" s="1"/>
  <c r="K226" i="17"/>
  <c r="I180" i="17"/>
  <c r="K180" i="17" s="1"/>
  <c r="N10" i="17"/>
  <c r="O20" i="12"/>
  <c r="P11" i="16"/>
  <c r="O11" i="16"/>
  <c r="L37" i="16"/>
  <c r="L414" i="15"/>
  <c r="O414" i="15" s="1"/>
  <c r="P24" i="16"/>
  <c r="N629" i="1"/>
  <c r="P629" i="1" s="1"/>
  <c r="P657" i="16"/>
  <c r="M655" i="16"/>
  <c r="P655" i="16" s="1"/>
  <c r="O53" i="16"/>
  <c r="N37" i="16"/>
  <c r="P446" i="16"/>
  <c r="M444" i="16"/>
  <c r="O9" i="16"/>
  <c r="P446" i="15"/>
  <c r="M444" i="15"/>
  <c r="P444" i="15" s="1"/>
  <c r="O20" i="15"/>
  <c r="P53" i="16"/>
  <c r="P13" i="16"/>
  <c r="M10" i="16"/>
  <c r="P788" i="16"/>
  <c r="M786" i="16"/>
  <c r="P786" i="16" s="1"/>
  <c r="L10" i="16"/>
  <c r="O13" i="16"/>
  <c r="M544" i="16"/>
  <c r="P544" i="16" s="1"/>
  <c r="M18" i="16"/>
  <c r="P18" i="16" s="1"/>
  <c r="P9" i="16"/>
  <c r="M30" i="16"/>
  <c r="P33" i="16"/>
  <c r="M31" i="16"/>
  <c r="P31" i="16" s="1"/>
  <c r="M14" i="16"/>
  <c r="P14" i="16" s="1"/>
  <c r="O20" i="16"/>
  <c r="L18" i="16"/>
  <c r="O18" i="16" s="1"/>
  <c r="K226" i="16"/>
  <c r="I180" i="16"/>
  <c r="K180" i="16" s="1"/>
  <c r="M37" i="16"/>
  <c r="O21" i="12"/>
  <c r="N11" i="14"/>
  <c r="P20" i="15"/>
  <c r="P24" i="13"/>
  <c r="M419" i="13"/>
  <c r="P419" i="13" s="1"/>
  <c r="O16" i="15"/>
  <c r="L14" i="15"/>
  <c r="O14" i="15" s="1"/>
  <c r="M467" i="15"/>
  <c r="P467" i="15" s="1"/>
  <c r="P469" i="15"/>
  <c r="P546" i="15"/>
  <c r="M544" i="15"/>
  <c r="P544" i="15" s="1"/>
  <c r="N8" i="14"/>
  <c r="L37" i="15"/>
  <c r="P9" i="15"/>
  <c r="P631" i="15"/>
  <c r="M629" i="15"/>
  <c r="P629" i="15" s="1"/>
  <c r="M419" i="15"/>
  <c r="P421" i="15"/>
  <c r="O30" i="15"/>
  <c r="N28" i="15"/>
  <c r="O28" i="15" s="1"/>
  <c r="O149" i="12"/>
  <c r="L37" i="14"/>
  <c r="I180" i="15"/>
  <c r="K180" i="15" s="1"/>
  <c r="K226" i="15"/>
  <c r="P53" i="14"/>
  <c r="M37" i="15"/>
  <c r="P41" i="15"/>
  <c r="P16" i="15"/>
  <c r="M14" i="15"/>
  <c r="P14" i="15" s="1"/>
  <c r="M685" i="12"/>
  <c r="P685" i="12" s="1"/>
  <c r="N11" i="15"/>
  <c r="O11" i="15" s="1"/>
  <c r="N10" i="15"/>
  <c r="N8" i="15" s="1"/>
  <c r="P33" i="15"/>
  <c r="M30" i="15"/>
  <c r="M31" i="15"/>
  <c r="P31" i="15" s="1"/>
  <c r="N37" i="14"/>
  <c r="M13" i="15"/>
  <c r="M18" i="15"/>
  <c r="P18" i="15" s="1"/>
  <c r="O9" i="15"/>
  <c r="O13" i="15"/>
  <c r="L10" i="15"/>
  <c r="P24" i="12"/>
  <c r="L18" i="15"/>
  <c r="O18" i="15" s="1"/>
  <c r="P261" i="11"/>
  <c r="O24" i="14"/>
  <c r="L14" i="11"/>
  <c r="O14" i="11" s="1"/>
  <c r="O53" i="12"/>
  <c r="L28" i="14"/>
  <c r="O28" i="14" s="1"/>
  <c r="O30" i="14"/>
  <c r="P21" i="9"/>
  <c r="O24" i="11"/>
  <c r="M544" i="14"/>
  <c r="P544" i="14" s="1"/>
  <c r="P546" i="14"/>
  <c r="O30" i="12"/>
  <c r="O20" i="13"/>
  <c r="N37" i="13"/>
  <c r="O20" i="14"/>
  <c r="P469" i="14"/>
  <c r="M467" i="14"/>
  <c r="P467" i="14" s="1"/>
  <c r="P20" i="14"/>
  <c r="O13" i="9"/>
  <c r="O16" i="14"/>
  <c r="L14" i="14"/>
  <c r="O14" i="14" s="1"/>
  <c r="L18" i="14"/>
  <c r="O18" i="14" s="1"/>
  <c r="P13" i="14"/>
  <c r="M10" i="14"/>
  <c r="P10" i="14" s="1"/>
  <c r="P33" i="14"/>
  <c r="M30" i="14"/>
  <c r="M31" i="14"/>
  <c r="P31" i="14" s="1"/>
  <c r="O13" i="14"/>
  <c r="L10" i="14"/>
  <c r="O10" i="14" s="1"/>
  <c r="P446" i="14"/>
  <c r="M444" i="14"/>
  <c r="P444" i="14" s="1"/>
  <c r="L11" i="14"/>
  <c r="P181" i="14"/>
  <c r="M37" i="14"/>
  <c r="M18" i="14"/>
  <c r="P18" i="14" s="1"/>
  <c r="O9" i="14"/>
  <c r="P9" i="14"/>
  <c r="L414" i="14"/>
  <c r="O414" i="14" s="1"/>
  <c r="P419" i="14"/>
  <c r="P16" i="14"/>
  <c r="M14" i="14"/>
  <c r="P14" i="14" s="1"/>
  <c r="M11" i="14"/>
  <c r="P181" i="7"/>
  <c r="O21" i="13"/>
  <c r="O18" i="13"/>
  <c r="P181" i="9"/>
  <c r="O88" i="13"/>
  <c r="P88" i="13"/>
  <c r="P41" i="13"/>
  <c r="O277" i="12"/>
  <c r="O13" i="13"/>
  <c r="L28" i="13"/>
  <c r="O28" i="13" s="1"/>
  <c r="L10" i="9"/>
  <c r="L8" i="9" s="1"/>
  <c r="L10" i="13"/>
  <c r="L8" i="13" s="1"/>
  <c r="P21" i="13"/>
  <c r="L14" i="13"/>
  <c r="O14" i="13" s="1"/>
  <c r="P13" i="13"/>
  <c r="M10" i="13"/>
  <c r="M11" i="13"/>
  <c r="L37" i="13"/>
  <c r="P20" i="13"/>
  <c r="M18" i="13"/>
  <c r="P18" i="13" s="1"/>
  <c r="P788" i="13"/>
  <c r="M786" i="13"/>
  <c r="P786" i="13" s="1"/>
  <c r="M14" i="13"/>
  <c r="P14" i="13" s="1"/>
  <c r="L414" i="13"/>
  <c r="K226" i="13"/>
  <c r="I180" i="13"/>
  <c r="K180" i="13" s="1"/>
  <c r="P469" i="13"/>
  <c r="M467" i="13"/>
  <c r="P467" i="13" s="1"/>
  <c r="N10" i="13"/>
  <c r="N8" i="13" s="1"/>
  <c r="N11" i="13"/>
  <c r="O11" i="13" s="1"/>
  <c r="P33" i="13"/>
  <c r="M30" i="13"/>
  <c r="M31" i="13"/>
  <c r="P31" i="13" s="1"/>
  <c r="M37" i="13"/>
  <c r="P687" i="13"/>
  <c r="M685" i="13"/>
  <c r="P685" i="13" s="1"/>
  <c r="N414" i="13"/>
  <c r="L414" i="12"/>
  <c r="O414" i="12" s="1"/>
  <c r="P328" i="12"/>
  <c r="L37" i="12"/>
  <c r="N37" i="12"/>
  <c r="P24" i="10"/>
  <c r="P546" i="12"/>
  <c r="M544" i="12"/>
  <c r="P544" i="12" s="1"/>
  <c r="O24" i="12"/>
  <c r="P20" i="12"/>
  <c r="P13" i="12"/>
  <c r="M10" i="12"/>
  <c r="M8" i="12" s="1"/>
  <c r="M18" i="12"/>
  <c r="P18" i="12" s="1"/>
  <c r="N37" i="10"/>
  <c r="O20" i="10"/>
  <c r="M37" i="11"/>
  <c r="P9" i="12"/>
  <c r="P446" i="12"/>
  <c r="M444" i="12"/>
  <c r="N10" i="12"/>
  <c r="N8" i="12" s="1"/>
  <c r="L18" i="12"/>
  <c r="O18" i="12" s="1"/>
  <c r="O119" i="11"/>
  <c r="O16" i="12"/>
  <c r="L14" i="12"/>
  <c r="O14" i="12" s="1"/>
  <c r="O13" i="12"/>
  <c r="L10" i="12"/>
  <c r="L8" i="12" s="1"/>
  <c r="L11" i="12"/>
  <c r="O11" i="12" s="1"/>
  <c r="M11" i="12"/>
  <c r="P11" i="12" s="1"/>
  <c r="O9" i="12"/>
  <c r="M37" i="12"/>
  <c r="P16" i="12"/>
  <c r="P33" i="12"/>
  <c r="M30" i="12"/>
  <c r="M31" i="12"/>
  <c r="P31" i="12" s="1"/>
  <c r="P657" i="12"/>
  <c r="M655" i="12"/>
  <c r="P655" i="12" s="1"/>
  <c r="P14" i="10"/>
  <c r="P24" i="11"/>
  <c r="P629" i="7"/>
  <c r="P20" i="9"/>
  <c r="O13" i="10"/>
  <c r="O345" i="10"/>
  <c r="O53" i="11"/>
  <c r="P631" i="7"/>
  <c r="O20" i="9"/>
  <c r="N10" i="10"/>
  <c r="N8" i="10" s="1"/>
  <c r="O14" i="10"/>
  <c r="P298" i="10"/>
  <c r="M467" i="10"/>
  <c r="P467" i="10" s="1"/>
  <c r="O24" i="10"/>
  <c r="N10" i="11"/>
  <c r="N8" i="11" s="1"/>
  <c r="N11" i="11"/>
  <c r="L10" i="10"/>
  <c r="L8" i="10" s="1"/>
  <c r="O18" i="10"/>
  <c r="L11" i="10"/>
  <c r="L37" i="11"/>
  <c r="P20" i="11"/>
  <c r="P469" i="11"/>
  <c r="M467" i="11"/>
  <c r="P467" i="11" s="1"/>
  <c r="K226" i="11"/>
  <c r="I180" i="11"/>
  <c r="K180" i="11" s="1"/>
  <c r="P419" i="11"/>
  <c r="N30" i="11"/>
  <c r="O33" i="11"/>
  <c r="N31" i="11"/>
  <c r="O31" i="11" s="1"/>
  <c r="O9" i="11"/>
  <c r="P33" i="11"/>
  <c r="M30" i="11"/>
  <c r="M31" i="11"/>
  <c r="P31" i="11" s="1"/>
  <c r="N37" i="11"/>
  <c r="O88" i="11"/>
  <c r="P16" i="11"/>
  <c r="M14" i="11"/>
  <c r="P14" i="11" s="1"/>
  <c r="O13" i="11"/>
  <c r="L10" i="11"/>
  <c r="L8" i="11" s="1"/>
  <c r="L11" i="11"/>
  <c r="P9" i="11"/>
  <c r="N444" i="11"/>
  <c r="O446" i="11"/>
  <c r="M444" i="11"/>
  <c r="P444" i="11" s="1"/>
  <c r="P446" i="11"/>
  <c r="P18" i="11"/>
  <c r="O41" i="8"/>
  <c r="M13" i="11"/>
  <c r="L414" i="11"/>
  <c r="O419" i="11"/>
  <c r="O20" i="11"/>
  <c r="L18" i="11"/>
  <c r="O18" i="11" s="1"/>
  <c r="P447" i="11"/>
  <c r="N11" i="10"/>
  <c r="P18" i="10"/>
  <c r="O16" i="10"/>
  <c r="P20" i="10"/>
  <c r="P16" i="10"/>
  <c r="P21" i="10"/>
  <c r="N37" i="9"/>
  <c r="O66" i="9"/>
  <c r="O30" i="10"/>
  <c r="L28" i="10"/>
  <c r="O28" i="10" s="1"/>
  <c r="M685" i="8"/>
  <c r="P685" i="8" s="1"/>
  <c r="P9" i="10"/>
  <c r="L414" i="10"/>
  <c r="O414" i="10" s="1"/>
  <c r="K226" i="10"/>
  <c r="I180" i="10"/>
  <c r="K180" i="10" s="1"/>
  <c r="P33" i="10"/>
  <c r="M30" i="10"/>
  <c r="M31" i="10"/>
  <c r="P31" i="10" s="1"/>
  <c r="M13" i="10"/>
  <c r="P421" i="10"/>
  <c r="M419" i="10"/>
  <c r="O9" i="10"/>
  <c r="P446" i="10"/>
  <c r="M444" i="10"/>
  <c r="P444" i="10" s="1"/>
  <c r="M37" i="10"/>
  <c r="L37" i="10"/>
  <c r="M655" i="6"/>
  <c r="P655" i="6" s="1"/>
  <c r="P16" i="9"/>
  <c r="N10" i="7"/>
  <c r="N8" i="7" s="1"/>
  <c r="P546" i="9"/>
  <c r="M544" i="9"/>
  <c r="P544" i="9" s="1"/>
  <c r="P277" i="8"/>
  <c r="I180" i="7"/>
  <c r="K180" i="7" s="1"/>
  <c r="M31" i="7"/>
  <c r="P31" i="7" s="1"/>
  <c r="O9" i="9"/>
  <c r="N14" i="9"/>
  <c r="P14" i="9" s="1"/>
  <c r="N10" i="9"/>
  <c r="N8" i="9" s="1"/>
  <c r="P446" i="9"/>
  <c r="M444" i="9"/>
  <c r="P444" i="9" s="1"/>
  <c r="L414" i="9"/>
  <c r="O414" i="9" s="1"/>
  <c r="O53" i="9"/>
  <c r="L37" i="9"/>
  <c r="P88" i="9"/>
  <c r="M37" i="9"/>
  <c r="K226" i="9"/>
  <c r="I180" i="9"/>
  <c r="K180" i="9" s="1"/>
  <c r="N11" i="7"/>
  <c r="O11" i="7" s="1"/>
  <c r="M30" i="7"/>
  <c r="P30" i="7" s="1"/>
  <c r="O18" i="9"/>
  <c r="P9" i="9"/>
  <c r="O16" i="9"/>
  <c r="L14" i="9"/>
  <c r="P419" i="9"/>
  <c r="O30" i="9"/>
  <c r="L28" i="9"/>
  <c r="O28" i="9" s="1"/>
  <c r="M30" i="9"/>
  <c r="P33" i="9"/>
  <c r="M13" i="9"/>
  <c r="M31" i="9"/>
  <c r="P31" i="9" s="1"/>
  <c r="M18" i="9"/>
  <c r="P18" i="9" s="1"/>
  <c r="M13" i="7"/>
  <c r="M11" i="7" s="1"/>
  <c r="P277" i="7"/>
  <c r="O53" i="7"/>
  <c r="N37" i="8"/>
  <c r="M544" i="8"/>
  <c r="P544" i="8" s="1"/>
  <c r="O24" i="8"/>
  <c r="P20" i="7"/>
  <c r="O20" i="7"/>
  <c r="O88" i="7"/>
  <c r="O261" i="6"/>
  <c r="O345" i="8"/>
  <c r="N11" i="8"/>
  <c r="O11" i="8" s="1"/>
  <c r="O18" i="8"/>
  <c r="O53" i="8"/>
  <c r="P631" i="8"/>
  <c r="M629" i="8"/>
  <c r="P629" i="8" s="1"/>
  <c r="P20" i="8"/>
  <c r="M18" i="8"/>
  <c r="P18" i="8" s="1"/>
  <c r="O9" i="8"/>
  <c r="O20" i="8"/>
  <c r="N8" i="8"/>
  <c r="O16" i="8"/>
  <c r="L14" i="8"/>
  <c r="O14" i="8" s="1"/>
  <c r="K226" i="8"/>
  <c r="I180" i="8"/>
  <c r="K180" i="8" s="1"/>
  <c r="M37" i="8"/>
  <c r="P421" i="8"/>
  <c r="M419" i="8"/>
  <c r="O13" i="8"/>
  <c r="L10" i="8"/>
  <c r="O10" i="8" s="1"/>
  <c r="O526" i="1"/>
  <c r="M467" i="2"/>
  <c r="P467" i="2" s="1"/>
  <c r="M444" i="6"/>
  <c r="P444" i="6" s="1"/>
  <c r="O30" i="7"/>
  <c r="P657" i="8"/>
  <c r="M655" i="8"/>
  <c r="P655" i="8" s="1"/>
  <c r="L414" i="8"/>
  <c r="O414" i="8" s="1"/>
  <c r="L37" i="8"/>
  <c r="O30" i="8"/>
  <c r="L28" i="8"/>
  <c r="O28" i="8" s="1"/>
  <c r="P446" i="8"/>
  <c r="M444" i="8"/>
  <c r="P444" i="8" s="1"/>
  <c r="M14" i="8"/>
  <c r="P14" i="8" s="1"/>
  <c r="M31" i="8"/>
  <c r="P31" i="8" s="1"/>
  <c r="M30" i="8"/>
  <c r="P33" i="8"/>
  <c r="M13" i="8"/>
  <c r="P788" i="6"/>
  <c r="M786" i="6"/>
  <c r="P786" i="6" s="1"/>
  <c r="P41" i="4"/>
  <c r="P687" i="6"/>
  <c r="P525" i="6"/>
  <c r="M523" i="6"/>
  <c r="P523" i="6" s="1"/>
  <c r="M18" i="7"/>
  <c r="P18" i="7" s="1"/>
  <c r="O24" i="4"/>
  <c r="M14" i="4"/>
  <c r="P14" i="4" s="1"/>
  <c r="O119" i="6"/>
  <c r="O261" i="7"/>
  <c r="P261" i="7"/>
  <c r="O149" i="7"/>
  <c r="P149" i="7"/>
  <c r="L14" i="7"/>
  <c r="O14" i="7" s="1"/>
  <c r="O16" i="7"/>
  <c r="O13" i="7"/>
  <c r="L10" i="7"/>
  <c r="P788" i="7"/>
  <c r="M786" i="7"/>
  <c r="P786" i="7" s="1"/>
  <c r="P9" i="7"/>
  <c r="P165" i="7"/>
  <c r="O41" i="7"/>
  <c r="L37" i="7"/>
  <c r="M37" i="7"/>
  <c r="P16" i="7"/>
  <c r="M14" i="7"/>
  <c r="P14" i="7" s="1"/>
  <c r="P419" i="7"/>
  <c r="O444" i="7"/>
  <c r="L414" i="7"/>
  <c r="O414" i="7" s="1"/>
  <c r="L18" i="7"/>
  <c r="O18" i="7" s="1"/>
  <c r="N37" i="7"/>
  <c r="O9" i="7"/>
  <c r="O544" i="7"/>
  <c r="P544" i="7"/>
  <c r="O629" i="7"/>
  <c r="O88" i="6"/>
  <c r="L37" i="6"/>
  <c r="N37" i="6"/>
  <c r="O14" i="6"/>
  <c r="L414" i="5"/>
  <c r="O414" i="5" s="1"/>
  <c r="O24" i="6"/>
  <c r="P21" i="6"/>
  <c r="P24" i="6"/>
  <c r="O16" i="6"/>
  <c r="M14" i="6"/>
  <c r="P14" i="6" s="1"/>
  <c r="P546" i="4"/>
  <c r="O631" i="1"/>
  <c r="L28" i="6"/>
  <c r="O28" i="6" s="1"/>
  <c r="P149" i="6"/>
  <c r="N37" i="4"/>
  <c r="N10" i="6"/>
  <c r="N8" i="6" s="1"/>
  <c r="N11" i="6"/>
  <c r="P11" i="6" s="1"/>
  <c r="P41" i="6"/>
  <c r="O20" i="6"/>
  <c r="L18" i="6"/>
  <c r="O18" i="6" s="1"/>
  <c r="P13" i="6"/>
  <c r="M10" i="6"/>
  <c r="K226" i="6"/>
  <c r="I180" i="6"/>
  <c r="K180" i="6" s="1"/>
  <c r="P9" i="6"/>
  <c r="M30" i="6"/>
  <c r="P33" i="6"/>
  <c r="M31" i="6"/>
  <c r="P31" i="6" s="1"/>
  <c r="P20" i="6"/>
  <c r="M18" i="6"/>
  <c r="P18" i="6" s="1"/>
  <c r="L10" i="6"/>
  <c r="L8" i="6" s="1"/>
  <c r="O13" i="6"/>
  <c r="P421" i="6"/>
  <c r="M419" i="6"/>
  <c r="O9" i="6"/>
  <c r="O41" i="6"/>
  <c r="L11" i="6"/>
  <c r="P261" i="4"/>
  <c r="M37" i="6"/>
  <c r="L414" i="6"/>
  <c r="O414" i="6" s="1"/>
  <c r="O419" i="6"/>
  <c r="P277" i="2"/>
  <c r="P21" i="4"/>
  <c r="O24" i="5"/>
  <c r="P525" i="1"/>
  <c r="M13" i="4"/>
  <c r="M11" i="4" s="1"/>
  <c r="O181" i="5"/>
  <c r="M544" i="5"/>
  <c r="P544" i="5" s="1"/>
  <c r="P687" i="5"/>
  <c r="M685" i="5"/>
  <c r="P685" i="5" s="1"/>
  <c r="O227" i="1"/>
  <c r="L28" i="5"/>
  <c r="O28" i="5" s="1"/>
  <c r="P18" i="5"/>
  <c r="L37" i="5"/>
  <c r="O14" i="3"/>
  <c r="M31" i="4"/>
  <c r="P446" i="5"/>
  <c r="M444" i="5"/>
  <c r="P444" i="5" s="1"/>
  <c r="O16" i="5"/>
  <c r="L10" i="5"/>
  <c r="L8" i="5" s="1"/>
  <c r="K226" i="5"/>
  <c r="I180" i="5"/>
  <c r="K180" i="5" s="1"/>
  <c r="P24" i="5"/>
  <c r="M30" i="5"/>
  <c r="P33" i="5"/>
  <c r="M31" i="5"/>
  <c r="P31" i="5" s="1"/>
  <c r="O165" i="5"/>
  <c r="P165" i="5"/>
  <c r="M10" i="5"/>
  <c r="M8" i="5" s="1"/>
  <c r="P13" i="5"/>
  <c r="P657" i="5"/>
  <c r="M655" i="5"/>
  <c r="P655" i="5" s="1"/>
  <c r="P421" i="5"/>
  <c r="M419" i="5"/>
  <c r="M37" i="5"/>
  <c r="L14" i="5"/>
  <c r="O14" i="5" s="1"/>
  <c r="P20" i="5"/>
  <c r="O9" i="5"/>
  <c r="P9" i="5"/>
  <c r="N10" i="5"/>
  <c r="N8" i="5" s="1"/>
  <c r="N11" i="5"/>
  <c r="P11" i="5" s="1"/>
  <c r="O13" i="5"/>
  <c r="O20" i="5"/>
  <c r="P16" i="5"/>
  <c r="M14" i="5"/>
  <c r="P14" i="5" s="1"/>
  <c r="O18" i="5"/>
  <c r="N37" i="5"/>
  <c r="P277" i="3"/>
  <c r="L14" i="4"/>
  <c r="O14" i="4" s="1"/>
  <c r="P657" i="1"/>
  <c r="P14" i="3"/>
  <c r="M655" i="2"/>
  <c r="P655" i="2" s="1"/>
  <c r="O546" i="1"/>
  <c r="M414" i="4"/>
  <c r="L414" i="4"/>
  <c r="N10" i="4"/>
  <c r="N30" i="4"/>
  <c r="O30" i="4" s="1"/>
  <c r="P33" i="4"/>
  <c r="N31" i="4"/>
  <c r="O66" i="4"/>
  <c r="L37" i="4"/>
  <c r="N18" i="4"/>
  <c r="P18" i="4" s="1"/>
  <c r="P20" i="4"/>
  <c r="N11" i="4"/>
  <c r="O9" i="4"/>
  <c r="P422" i="4"/>
  <c r="O422" i="4"/>
  <c r="K226" i="4"/>
  <c r="I180" i="4"/>
  <c r="K180" i="4" s="1"/>
  <c r="M37" i="4"/>
  <c r="O31" i="4"/>
  <c r="P421" i="4"/>
  <c r="N419" i="4"/>
  <c r="P21" i="2"/>
  <c r="L10" i="4"/>
  <c r="O13" i="4"/>
  <c r="L11" i="4"/>
  <c r="L28" i="4"/>
  <c r="P149" i="1"/>
  <c r="P315" i="2"/>
  <c r="O30" i="3"/>
  <c r="O544" i="1"/>
  <c r="P546" i="1"/>
  <c r="P9" i="4"/>
  <c r="O20" i="4"/>
  <c r="O33" i="4"/>
  <c r="O41" i="2"/>
  <c r="P24" i="3"/>
  <c r="P688" i="1"/>
  <c r="M629" i="3"/>
  <c r="P629" i="3" s="1"/>
  <c r="P631" i="3"/>
  <c r="L10" i="3"/>
  <c r="O13" i="3"/>
  <c r="L11" i="3"/>
  <c r="N467" i="1"/>
  <c r="P467" i="1" s="1"/>
  <c r="O525" i="1"/>
  <c r="P16" i="3"/>
  <c r="P21" i="3"/>
  <c r="O523" i="3"/>
  <c r="L414" i="3"/>
  <c r="O414" i="3" s="1"/>
  <c r="O657" i="1"/>
  <c r="J592" i="1"/>
  <c r="K592" i="1" s="1"/>
  <c r="K226" i="3"/>
  <c r="I180" i="3"/>
  <c r="K180" i="3" s="1"/>
  <c r="O16" i="3"/>
  <c r="M37" i="3"/>
  <c r="L37" i="3"/>
  <c r="N28" i="3"/>
  <c r="O28" i="3" s="1"/>
  <c r="M30" i="3"/>
  <c r="P33" i="3"/>
  <c r="M31" i="3"/>
  <c r="P31" i="3" s="1"/>
  <c r="N10" i="3"/>
  <c r="N8" i="3" s="1"/>
  <c r="N11" i="3"/>
  <c r="O20" i="3"/>
  <c r="L18" i="3"/>
  <c r="O18" i="3" s="1"/>
  <c r="P20" i="3"/>
  <c r="M18" i="3"/>
  <c r="P18" i="3" s="1"/>
  <c r="P419" i="3"/>
  <c r="P345" i="3"/>
  <c r="O345" i="3"/>
  <c r="P687" i="3"/>
  <c r="M685" i="3"/>
  <c r="P685" i="3" s="1"/>
  <c r="P16" i="1"/>
  <c r="N37" i="3"/>
  <c r="M13" i="3"/>
  <c r="L414" i="2"/>
  <c r="O469" i="1"/>
  <c r="O24" i="2"/>
  <c r="P655" i="1"/>
  <c r="O21" i="2"/>
  <c r="P20" i="1"/>
  <c r="P470" i="1"/>
  <c r="N37" i="2"/>
  <c r="M14" i="1"/>
  <c r="P14" i="1" s="1"/>
  <c r="K226" i="2"/>
  <c r="I180" i="2"/>
  <c r="K180" i="2" s="1"/>
  <c r="O523" i="2"/>
  <c r="P523" i="2"/>
  <c r="P9" i="2"/>
  <c r="L37" i="2"/>
  <c r="N10" i="2"/>
  <c r="N8" i="2" s="1"/>
  <c r="N11" i="2"/>
  <c r="O11" i="2" s="1"/>
  <c r="M30" i="2"/>
  <c r="P33" i="2"/>
  <c r="M31" i="2"/>
  <c r="P31" i="2" s="1"/>
  <c r="O21" i="1"/>
  <c r="M414" i="1"/>
  <c r="L14" i="2"/>
  <c r="O14" i="2" s="1"/>
  <c r="M14" i="2"/>
  <c r="P14" i="2" s="1"/>
  <c r="L10" i="2"/>
  <c r="L8" i="2" s="1"/>
  <c r="O13" i="2"/>
  <c r="P13" i="2"/>
  <c r="M10" i="2"/>
  <c r="P20" i="2"/>
  <c r="M18" i="2"/>
  <c r="P18" i="2" s="1"/>
  <c r="O9" i="2"/>
  <c r="P446" i="2"/>
  <c r="M444" i="2"/>
  <c r="M11" i="2"/>
  <c r="N414" i="2"/>
  <c r="N28" i="2"/>
  <c r="O28" i="2" s="1"/>
  <c r="O30" i="2"/>
  <c r="M37" i="2"/>
  <c r="O20" i="2"/>
  <c r="L18" i="2"/>
  <c r="O18" i="2" s="1"/>
  <c r="O523" i="1"/>
  <c r="P523" i="1"/>
  <c r="P421" i="1"/>
  <c r="O421" i="1"/>
  <c r="N419" i="1"/>
  <c r="O422" i="1"/>
  <c r="P422" i="1"/>
  <c r="N37" i="1"/>
  <c r="P41" i="1"/>
  <c r="N30" i="1"/>
  <c r="N31" i="1"/>
  <c r="P31" i="1" s="1"/>
  <c r="N13" i="1"/>
  <c r="P13" i="1" s="1"/>
  <c r="P33" i="1"/>
  <c r="M10" i="1"/>
  <c r="M8" i="1" s="1"/>
  <c r="M11" i="1"/>
  <c r="L37" i="1"/>
  <c r="O41" i="1"/>
  <c r="L414" i="1"/>
  <c r="L10" i="1"/>
  <c r="O165" i="1"/>
  <c r="P165" i="1"/>
  <c r="P447" i="1"/>
  <c r="O447" i="1"/>
  <c r="O20" i="1"/>
  <c r="L18" i="1"/>
  <c r="O18" i="1" s="1"/>
  <c r="O298" i="1"/>
  <c r="P298" i="1"/>
  <c r="O261" i="1"/>
  <c r="P261" i="1"/>
  <c r="O9" i="1"/>
  <c r="N444" i="1"/>
  <c r="O444" i="1" s="1"/>
  <c r="P446" i="1"/>
  <c r="P788" i="1"/>
  <c r="N786" i="1"/>
  <c r="P786" i="1" s="1"/>
  <c r="O277" i="1"/>
  <c r="P277" i="1"/>
  <c r="O66" i="1"/>
  <c r="P132" i="1"/>
  <c r="M37" i="1"/>
  <c r="I180" i="1"/>
  <c r="K180" i="1" s="1"/>
  <c r="K226" i="1"/>
  <c r="O33" i="1"/>
  <c r="P9" i="1"/>
  <c r="O16" i="1"/>
  <c r="L14" i="1"/>
  <c r="O14" i="1" s="1"/>
  <c r="M18" i="1"/>
  <c r="P18" i="1" s="1"/>
  <c r="O789" i="1"/>
  <c r="J543" i="1"/>
  <c r="K543" i="1" s="1"/>
  <c r="K559" i="1"/>
  <c r="O37" i="21" l="1"/>
  <c r="P37" i="21"/>
  <c r="P10" i="6"/>
  <c r="P37" i="6"/>
  <c r="O8" i="12"/>
  <c r="P10" i="16"/>
  <c r="O10" i="16"/>
  <c r="P37" i="20"/>
  <c r="L8" i="21"/>
  <c r="O8" i="21" s="1"/>
  <c r="P444" i="21"/>
  <c r="M414" i="21"/>
  <c r="P414" i="21" s="1"/>
  <c r="P13" i="21"/>
  <c r="M10" i="21"/>
  <c r="M11" i="21"/>
  <c r="P11" i="21" s="1"/>
  <c r="O414" i="21"/>
  <c r="P30" i="21"/>
  <c r="M28" i="21"/>
  <c r="P28" i="21" s="1"/>
  <c r="O37" i="20"/>
  <c r="P37" i="15"/>
  <c r="O37" i="15"/>
  <c r="P8" i="20"/>
  <c r="O11" i="20"/>
  <c r="P11" i="20"/>
  <c r="P467" i="20"/>
  <c r="M414" i="20"/>
  <c r="P414" i="20" s="1"/>
  <c r="P30" i="20"/>
  <c r="M28" i="20"/>
  <c r="P28" i="20" s="1"/>
  <c r="O10" i="20"/>
  <c r="L8" i="20"/>
  <c r="O8" i="20" s="1"/>
  <c r="P10" i="20"/>
  <c r="O14" i="19"/>
  <c r="P8" i="19"/>
  <c r="P11" i="14"/>
  <c r="O37" i="19"/>
  <c r="P37" i="19"/>
  <c r="O10" i="19"/>
  <c r="L8" i="19"/>
  <c r="O8" i="19" s="1"/>
  <c r="P10" i="19"/>
  <c r="M414" i="19"/>
  <c r="P414" i="19" s="1"/>
  <c r="P419" i="19"/>
  <c r="P30" i="19"/>
  <c r="M28" i="19"/>
  <c r="P28" i="19" s="1"/>
  <c r="O10" i="18"/>
  <c r="P14" i="17"/>
  <c r="P37" i="16"/>
  <c r="L8" i="18"/>
  <c r="O8" i="18" s="1"/>
  <c r="O37" i="18"/>
  <c r="P13" i="18"/>
  <c r="M10" i="18"/>
  <c r="M11" i="18"/>
  <c r="P11" i="18" s="1"/>
  <c r="P444" i="18"/>
  <c r="M414" i="18"/>
  <c r="P414" i="18" s="1"/>
  <c r="P30" i="18"/>
  <c r="M28" i="18"/>
  <c r="P28" i="18" s="1"/>
  <c r="P37" i="18"/>
  <c r="L8" i="16"/>
  <c r="O8" i="16" s="1"/>
  <c r="O37" i="16"/>
  <c r="N8" i="17"/>
  <c r="O8" i="17" s="1"/>
  <c r="O10" i="17"/>
  <c r="P13" i="17"/>
  <c r="M10" i="17"/>
  <c r="M11" i="17"/>
  <c r="P11" i="17" s="1"/>
  <c r="P30" i="17"/>
  <c r="M28" i="17"/>
  <c r="P28" i="17" s="1"/>
  <c r="M414" i="17"/>
  <c r="P414" i="17" s="1"/>
  <c r="P419" i="17"/>
  <c r="O629" i="1"/>
  <c r="P444" i="16"/>
  <c r="M414" i="16"/>
  <c r="P414" i="16" s="1"/>
  <c r="O11" i="14"/>
  <c r="P30" i="16"/>
  <c r="M28" i="16"/>
  <c r="P28" i="16" s="1"/>
  <c r="M8" i="16"/>
  <c r="P8" i="16" s="1"/>
  <c r="O10" i="15"/>
  <c r="O37" i="14"/>
  <c r="P37" i="14"/>
  <c r="P30" i="15"/>
  <c r="M28" i="15"/>
  <c r="P28" i="15" s="1"/>
  <c r="P13" i="15"/>
  <c r="M10" i="15"/>
  <c r="M11" i="15"/>
  <c r="P11" i="15" s="1"/>
  <c r="P419" i="15"/>
  <c r="M414" i="15"/>
  <c r="P414" i="15" s="1"/>
  <c r="L8" i="15"/>
  <c r="O8" i="15" s="1"/>
  <c r="O37" i="13"/>
  <c r="L8" i="14"/>
  <c r="O8" i="14" s="1"/>
  <c r="P37" i="13"/>
  <c r="M8" i="14"/>
  <c r="P8" i="14" s="1"/>
  <c r="P30" i="14"/>
  <c r="M28" i="14"/>
  <c r="P28" i="14" s="1"/>
  <c r="M414" i="14"/>
  <c r="P414" i="14" s="1"/>
  <c r="O8" i="13"/>
  <c r="P11" i="13"/>
  <c r="O10" i="13"/>
  <c r="O11" i="10"/>
  <c r="O414" i="13"/>
  <c r="P10" i="13"/>
  <c r="M8" i="13"/>
  <c r="P8" i="13" s="1"/>
  <c r="P30" i="13"/>
  <c r="M28" i="13"/>
  <c r="P28" i="13" s="1"/>
  <c r="M414" i="13"/>
  <c r="P414" i="13" s="1"/>
  <c r="P37" i="11"/>
  <c r="P37" i="12"/>
  <c r="O37" i="11"/>
  <c r="P37" i="10"/>
  <c r="O37" i="12"/>
  <c r="P30" i="12"/>
  <c r="M28" i="12"/>
  <c r="P28" i="12" s="1"/>
  <c r="P444" i="12"/>
  <c r="M414" i="12"/>
  <c r="P414" i="12" s="1"/>
  <c r="P8" i="12"/>
  <c r="O10" i="12"/>
  <c r="P10" i="12"/>
  <c r="O37" i="10"/>
  <c r="O37" i="9"/>
  <c r="O8" i="10"/>
  <c r="O11" i="11"/>
  <c r="O10" i="10"/>
  <c r="O8" i="11"/>
  <c r="M414" i="11"/>
  <c r="O10" i="11"/>
  <c r="P13" i="11"/>
  <c r="M10" i="11"/>
  <c r="M11" i="11"/>
  <c r="P11" i="11" s="1"/>
  <c r="P30" i="11"/>
  <c r="M28" i="11"/>
  <c r="P28" i="11" s="1"/>
  <c r="O444" i="11"/>
  <c r="N414" i="11"/>
  <c r="O414" i="11" s="1"/>
  <c r="O30" i="11"/>
  <c r="N28" i="11"/>
  <c r="O28" i="11" s="1"/>
  <c r="P37" i="9"/>
  <c r="P11" i="7"/>
  <c r="O10" i="9"/>
  <c r="P13" i="10"/>
  <c r="M10" i="10"/>
  <c r="M11" i="10"/>
  <c r="P11" i="10" s="1"/>
  <c r="M414" i="10"/>
  <c r="P414" i="10" s="1"/>
  <c r="P419" i="10"/>
  <c r="P30" i="10"/>
  <c r="M28" i="10"/>
  <c r="P28" i="10" s="1"/>
  <c r="P37" i="8"/>
  <c r="O10" i="7"/>
  <c r="O8" i="9"/>
  <c r="O37" i="8"/>
  <c r="O14" i="9"/>
  <c r="M414" i="9"/>
  <c r="P414" i="9" s="1"/>
  <c r="P13" i="9"/>
  <c r="M10" i="9"/>
  <c r="M11" i="9"/>
  <c r="P11" i="9" s="1"/>
  <c r="P30" i="9"/>
  <c r="M28" i="9"/>
  <c r="P28" i="9" s="1"/>
  <c r="M28" i="7"/>
  <c r="P28" i="7" s="1"/>
  <c r="M10" i="7"/>
  <c r="P10" i="7" s="1"/>
  <c r="P13" i="7"/>
  <c r="L8" i="7"/>
  <c r="O8" i="7" s="1"/>
  <c r="L8" i="8"/>
  <c r="O8" i="8" s="1"/>
  <c r="M10" i="8"/>
  <c r="P13" i="8"/>
  <c r="M11" i="8"/>
  <c r="P11" i="8" s="1"/>
  <c r="O10" i="4"/>
  <c r="P30" i="8"/>
  <c r="M28" i="8"/>
  <c r="P28" i="8" s="1"/>
  <c r="M414" i="8"/>
  <c r="P414" i="8" s="1"/>
  <c r="P419" i="8"/>
  <c r="M414" i="7"/>
  <c r="P414" i="7" s="1"/>
  <c r="M10" i="4"/>
  <c r="M8" i="4" s="1"/>
  <c r="O37" i="4"/>
  <c r="O37" i="7"/>
  <c r="P37" i="7"/>
  <c r="O8" i="6"/>
  <c r="O37" i="6"/>
  <c r="P10" i="2"/>
  <c r="O8" i="5"/>
  <c r="O10" i="6"/>
  <c r="M8" i="6"/>
  <c r="P8" i="6" s="1"/>
  <c r="P37" i="4"/>
  <c r="P8" i="5"/>
  <c r="P419" i="6"/>
  <c r="M414" i="6"/>
  <c r="P414" i="6" s="1"/>
  <c r="O11" i="6"/>
  <c r="P30" i="6"/>
  <c r="M28" i="6"/>
  <c r="P28" i="6" s="1"/>
  <c r="O11" i="5"/>
  <c r="P13" i="4"/>
  <c r="O37" i="5"/>
  <c r="P37" i="5"/>
  <c r="P31" i="4"/>
  <c r="P10" i="5"/>
  <c r="O10" i="5"/>
  <c r="P11" i="4"/>
  <c r="P419" i="5"/>
  <c r="M414" i="5"/>
  <c r="P414" i="5" s="1"/>
  <c r="P30" i="5"/>
  <c r="M28" i="5"/>
  <c r="P28" i="5" s="1"/>
  <c r="O11" i="4"/>
  <c r="O18" i="4"/>
  <c r="N414" i="4"/>
  <c r="O419" i="4"/>
  <c r="P419" i="4"/>
  <c r="N8" i="4"/>
  <c r="P30" i="4"/>
  <c r="N28" i="4"/>
  <c r="P28" i="4" s="1"/>
  <c r="L8" i="4"/>
  <c r="O414" i="2"/>
  <c r="O37" i="3"/>
  <c r="P37" i="3"/>
  <c r="P37" i="2"/>
  <c r="M414" i="3"/>
  <c r="P414" i="3" s="1"/>
  <c r="O11" i="3"/>
  <c r="O467" i="1"/>
  <c r="M11" i="3"/>
  <c r="P11" i="3" s="1"/>
  <c r="M10" i="3"/>
  <c r="P13" i="3"/>
  <c r="P30" i="3"/>
  <c r="M28" i="3"/>
  <c r="P28" i="3" s="1"/>
  <c r="O10" i="3"/>
  <c r="L8" i="3"/>
  <c r="O8" i="3" s="1"/>
  <c r="P37" i="1"/>
  <c r="O37" i="2"/>
  <c r="O8" i="2"/>
  <c r="O10" i="2"/>
  <c r="M8" i="2"/>
  <c r="P8" i="2" s="1"/>
  <c r="P444" i="2"/>
  <c r="M414" i="2"/>
  <c r="P414" i="2" s="1"/>
  <c r="P30" i="2"/>
  <c r="M28" i="2"/>
  <c r="P28" i="2" s="1"/>
  <c r="P11" i="2"/>
  <c r="O13" i="1"/>
  <c r="O419" i="1"/>
  <c r="P419" i="1"/>
  <c r="O31" i="1"/>
  <c r="N414" i="1"/>
  <c r="P414" i="1" s="1"/>
  <c r="P444" i="1"/>
  <c r="N28" i="1"/>
  <c r="P30" i="1"/>
  <c r="O786" i="1"/>
  <c r="O30" i="1"/>
  <c r="L8" i="1"/>
  <c r="O37" i="1"/>
  <c r="N11" i="1"/>
  <c r="O11" i="1" s="1"/>
  <c r="N10" i="1"/>
  <c r="N8" i="1" s="1"/>
  <c r="P8" i="1" s="1"/>
  <c r="P10" i="21" l="1"/>
  <c r="M8" i="21"/>
  <c r="P8" i="21" s="1"/>
  <c r="P10" i="18"/>
  <c r="M8" i="18"/>
  <c r="P8" i="18" s="1"/>
  <c r="P10" i="17"/>
  <c r="M8" i="17"/>
  <c r="P8" i="17" s="1"/>
  <c r="P10" i="15"/>
  <c r="M8" i="15"/>
  <c r="P8" i="15" s="1"/>
  <c r="P414" i="11"/>
  <c r="P10" i="11"/>
  <c r="M8" i="11"/>
  <c r="P8" i="11" s="1"/>
  <c r="P10" i="10"/>
  <c r="M8" i="10"/>
  <c r="P8" i="10" s="1"/>
  <c r="P10" i="9"/>
  <c r="M8" i="9"/>
  <c r="P8" i="9" s="1"/>
  <c r="M8" i="7"/>
  <c r="P8" i="7" s="1"/>
  <c r="P10" i="8"/>
  <c r="M8" i="8"/>
  <c r="P8" i="8" s="1"/>
  <c r="P10" i="4"/>
  <c r="P8" i="4"/>
  <c r="O8" i="4"/>
  <c r="O414" i="4"/>
  <c r="P414" i="4"/>
  <c r="O28" i="4"/>
  <c r="P10" i="3"/>
  <c r="M8" i="3"/>
  <c r="P8" i="3" s="1"/>
  <c r="P10" i="1"/>
  <c r="O8" i="1"/>
  <c r="P11" i="1"/>
  <c r="O414" i="1"/>
  <c r="O10" i="1"/>
  <c r="O28" i="1"/>
  <c r="P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606" authorId="0" shapeId="0" xr:uid="{21D6C3CB-240D-4885-BEA1-30D737B0776C}">
      <text>
        <r>
          <rPr>
            <sz val="10"/>
            <color rgb="FF000000"/>
            <rFont val="Arial"/>
            <scheme val="minor"/>
          </rPr>
          <t>ช่วยตรวจสอบดูคอลลั่มที่592 หน่อยค่ะมันไม่อ่านข้อมูล
	-Sakunkan Mhunmee
หนองคายค่ะตรวจสอบผิดปกติ
	-Sakunkan Mhunmee</t>
        </r>
      </text>
    </comment>
  </commentList>
</comments>
</file>

<file path=xl/sharedStrings.xml><?xml version="1.0" encoding="utf-8"?>
<sst xmlns="http://schemas.openxmlformats.org/spreadsheetml/2006/main" count="32640" uniqueCount="361">
  <si>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</si>
  <si>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</si>
  <si>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</si>
  <si>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</si>
  <si>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</si>
  <si>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</si>
  <si>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</si>
  <si>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</si>
  <si>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</si>
  <si>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</si>
  <si>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</si>
  <si>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</si>
  <si>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</si>
  <si>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</si>
  <si>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</si>
  <si>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</si>
  <si>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</si>
  <si>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</si>
  <si>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</si>
  <si>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</si>
  <si>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</si>
  <si>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</si>
  <si>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</si>
  <si>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</si>
  <si>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</si>
  <si>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</si>
  <si>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</si>
  <si>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</si>
  <si>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</si>
  <si>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</si>
  <si>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</si>
  <si>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</si>
  <si>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</si>
  <si>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</si>
  <si>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</si>
  <si>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</si>
  <si>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</si>
  <si>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</si>
  <si>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</si>
  <si>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</si>
  <si>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</si>
  <si>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</si>
  <si>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</si>
  <si>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</si>
  <si>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</si>
  <si>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</si>
  <si>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</si>
  <si>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</si>
  <si>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</si>
  <si>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</si>
  <si>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</si>
  <si>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</si>
  <si>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</si>
  <si>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</si>
  <si>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</si>
  <si>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</si>
  <si>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</si>
  <si>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</si>
  <si>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</si>
  <si>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</si>
  <si>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</si>
  <si>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</si>
  <si>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</si>
  <si>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</si>
  <si>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</si>
  <si>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</si>
  <si>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</si>
  <si>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</si>
  <si>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</si>
  <si>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</si>
  <si>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</si>
  <si>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</si>
  <si>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</si>
  <si>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</si>
  <si>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</si>
  <si>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</si>
  <si>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</si>
  <si>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</si>
  <si>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</si>
  <si>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</si>
  <si>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</si>
  <si>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</si>
  <si>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</si>
  <si>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</si>
  <si>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</si>
  <si>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</si>
  <si>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</si>
  <si>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</si>
  <si>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</si>
  <si>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</si>
  <si>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</si>
  <si>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</si>
  <si>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</si>
  <si>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</si>
  <si>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</si>
  <si>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</si>
  <si>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</si>
  <si>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</si>
  <si>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</si>
  <si>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</si>
  <si>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</si>
  <si>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</si>
  <si>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</si>
  <si>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</si>
  <si>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</si>
  <si>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</si>
  <si>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</si>
  <si>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</si>
  <si>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</si>
  <si>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</si>
  <si>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</si>
  <si>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</si>
  <si>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</si>
  <si>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</si>
  <si>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</si>
  <si>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</si>
  <si>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</si>
  <si>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</si>
  <si>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</si>
  <si>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</si>
  <si>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</si>
  <si>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</si>
  <si>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</si>
  <si>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</si>
  <si>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</si>
  <si>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</si>
  <si>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</si>
  <si>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</si>
  <si>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</si>
  <si>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</si>
  <si>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</si>
  <si>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</si>
  <si>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</si>
  <si>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</si>
  <si>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</si>
  <si>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</si>
  <si>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</si>
  <si>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</si>
  <si>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</si>
  <si>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</si>
  <si>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</si>
  <si>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</si>
  <si>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</si>
  <si>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</si>
  <si>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</si>
  <si>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</si>
  <si>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</si>
  <si>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</si>
  <si>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</si>
  <si>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</si>
  <si>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</si>
  <si>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</si>
  <si>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</si>
  <si>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</si>
  <si>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</si>
  <si>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</si>
  <si>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</si>
  <si>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</si>
  <si>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</si>
  <si>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</si>
  <si>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</si>
  <si>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</si>
  <si>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</si>
  <si>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</si>
  <si>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</si>
  <si>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</si>
  <si>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</si>
  <si>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</si>
  <si>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</si>
  <si>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</si>
  <si>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</si>
  <si>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</si>
  <si>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</si>
  <si>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</si>
  <si>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</si>
  <si>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</si>
  <si>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</si>
  <si>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</si>
  <si>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</si>
  <si>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</si>
  <si>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</si>
  <si>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</si>
  <si>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</si>
  <si>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</si>
  <si>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</si>
  <si>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</si>
  <si>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</si>
  <si>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</si>
  <si>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</si>
  <si>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</si>
  <si>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</si>
  <si>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</si>
  <si>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</si>
  <si>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</si>
  <si>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</si>
  <si>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</si>
  <si>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</si>
  <si>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</si>
  <si>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</si>
  <si>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</si>
  <si>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</si>
  <si>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</si>
  <si>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</si>
  <si>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</si>
  <si>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</si>
  <si>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</si>
  <si>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</si>
  <si>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</si>
  <si>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</si>
  <si>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</si>
  <si>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</si>
  <si>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</si>
  <si>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</si>
  <si>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</si>
  <si>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</si>
  <si>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</si>
  <si>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</si>
  <si>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</si>
  <si>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</si>
  <si>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</si>
  <si>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</si>
  <si>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</si>
  <si>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</si>
  <si>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</si>
  <si>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</si>
  <si>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</si>
  <si>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</si>
  <si>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</si>
  <si>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</si>
  <si>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</si>
  <si>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</si>
  <si>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</si>
  <si>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</si>
  <si>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</si>
  <si>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</si>
  <si>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</si>
  <si>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</si>
  <si>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</si>
  <si>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</si>
  <si>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</si>
  <si>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</si>
  <si>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</si>
  <si>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</si>
  <si>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</si>
  <si>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</si>
  <si>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</si>
  <si>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</si>
  <si>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</si>
  <si>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</si>
  <si>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</si>
  <si>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</si>
  <si>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</si>
  <si>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</si>
  <si>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</si>
  <si>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</si>
  <si>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</si>
  <si>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</si>
  <si>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</si>
  <si>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</si>
  <si>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</si>
  <si>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</si>
  <si>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</si>
  <si>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</si>
  <si>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</si>
  <si>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</si>
  <si>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</si>
  <si>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</si>
  <si>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</si>
  <si>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</si>
  <si>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</si>
  <si>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</si>
  <si>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</si>
  <si>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</si>
  <si>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</si>
  <si>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</si>
  <si>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</si>
  <si>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</si>
  <si>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</si>
  <si>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</si>
  <si>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</si>
  <si>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</si>
  <si>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</si>
  <si>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</si>
  <si>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</si>
  <si>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</si>
  <si>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</si>
  <si>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</si>
  <si>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</si>
  <si>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</si>
  <si>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</si>
  <si>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</si>
  <si>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</si>
  <si>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</si>
  <si>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</si>
  <si>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</si>
  <si>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</si>
  <si>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</si>
  <si>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</si>
  <si>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</si>
  <si>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</si>
  <si>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</si>
  <si>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</si>
  <si>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</si>
  <si>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</si>
  <si>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</si>
  <si>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</si>
  <si>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</si>
  <si>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</si>
  <si>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</si>
  <si>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</si>
  <si>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</si>
  <si>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</si>
  <si>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</si>
  <si>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</si>
  <si>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</si>
  <si>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</si>
  <si>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</si>
  <si>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</si>
  <si>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</si>
  <si>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</si>
  <si>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</si>
  <si>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</si>
  <si>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</si>
  <si>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</si>
  <si>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</si>
  <si>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</si>
  <si>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</si>
  <si>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</si>
  <si>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</si>
  <si>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</si>
  <si>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</si>
  <si>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</si>
  <si>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</si>
  <si>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</si>
  <si>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</si>
  <si>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</si>
  <si>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</si>
  <si>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</si>
  <si>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</si>
  <si>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</si>
  <si>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</si>
  <si>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</si>
  <si>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</si>
  <si>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</si>
  <si>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</si>
  <si>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</si>
  <si>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</si>
  <si>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</si>
  <si>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</si>
  <si>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</si>
  <si>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</si>
  <si>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</si>
  <si>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</si>
  <si>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</si>
  <si>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</si>
  <si>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</si>
  <si>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</si>
  <si>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</si>
  <si>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</si>
  <si>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</si>
  <si>
    <t>ข้อมูล ณ วันที่ 30 เมษายน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</si>
</sst>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22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 applyAlignment="1"/>
    <xf numFmtId="189" fontId="6" fillId="10" borderId="11" xfId="0" applyNumberFormat="1" applyFont="1" applyFill="1" applyBorder="1" applyAlignment="1"/>
    <xf numFmtId="189" fontId="4" fillId="21" borderId="11" xfId="0" applyNumberFormat="1" applyFont="1" applyFill="1" applyBorder="1" applyAlignment="1"/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0" xfId="0" applyFont="1" applyAlignment="1"/>
    <xf numFmtId="0" fontId="27" fillId="2" borderId="13" xfId="0" quotePrefix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42578125" bestFit="1" customWidth="1"/>
    <col min="10" max="10" width="17.85546875" bestFit="1" customWidth="1"/>
    <col min="11" max="11" width="12.5703125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154271331</v>
      </c>
      <c r="M8" s="22">
        <f t="shared" ca="1" si="0"/>
        <v>137966104.21000001</v>
      </c>
      <c r="N8" s="22">
        <f t="shared" ca="1" si="0"/>
        <v>88641902.939999998</v>
      </c>
      <c r="O8" s="22">
        <f t="shared" ref="O8:O16" ca="1" si="1">IF(L8&gt;0,N8*100/L8,0)</f>
        <v>57.45844180212589</v>
      </c>
      <c r="P8" s="22">
        <f t="shared" ref="P8:P16" ca="1" si="2">IF(M8&gt;0,N8*100/M8,0)</f>
        <v>64.249043957258522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154271331</v>
      </c>
      <c r="M10" s="30">
        <f t="shared" ca="1" si="4"/>
        <v>137966104.21000001</v>
      </c>
      <c r="N10" s="30">
        <f t="shared" ca="1" si="4"/>
        <v>88641902.939999998</v>
      </c>
      <c r="O10" s="30">
        <f t="shared" ca="1" si="1"/>
        <v>57.45844180212589</v>
      </c>
      <c r="P10" s="30">
        <f t="shared" ca="1" si="2"/>
        <v>64.249043957258522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140049131</v>
      </c>
      <c r="M11" s="38">
        <f t="shared" ca="1" si="5"/>
        <v>124987112.40000001</v>
      </c>
      <c r="N11" s="38">
        <f t="shared" ca="1" si="5"/>
        <v>75843411.129999995</v>
      </c>
      <c r="O11" s="38">
        <f t="shared" ca="1" si="1"/>
        <v>54.154860218304393</v>
      </c>
      <c r="P11" s="38">
        <f t="shared" ca="1" si="2"/>
        <v>60.680985162115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140049131</v>
      </c>
      <c r="M13" s="45">
        <f t="shared" ca="1" si="7"/>
        <v>124987112.40000001</v>
      </c>
      <c r="N13" s="45">
        <f t="shared" ca="1" si="7"/>
        <v>75843411.129999995</v>
      </c>
      <c r="O13" s="45">
        <f t="shared" ca="1" si="1"/>
        <v>54.154860218304393</v>
      </c>
      <c r="P13" s="45">
        <f t="shared" ca="1" si="2"/>
        <v>60.680985162115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12978991.809999999</v>
      </c>
      <c r="N14" s="38">
        <f t="shared" ca="1" si="8"/>
        <v>12798491.809999999</v>
      </c>
      <c r="O14" s="38">
        <f t="shared" ca="1" si="1"/>
        <v>89.989536147712712</v>
      </c>
      <c r="P14" s="38">
        <f t="shared" ca="1" si="2"/>
        <v>98.609291055558487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12978991.809999999</v>
      </c>
      <c r="N16" s="52">
        <f t="shared" ca="1" si="10"/>
        <v>12798491.809999999</v>
      </c>
      <c r="O16" s="52">
        <f t="shared" ca="1" si="1"/>
        <v>89.989536147712712</v>
      </c>
      <c r="P16" s="52">
        <f t="shared" ca="1" si="2"/>
        <v>98.609291055558487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84276190.210000008</v>
      </c>
      <c r="N18" s="22">
        <f t="shared" ca="1" si="11"/>
        <v>64908532.519999996</v>
      </c>
      <c r="O18" s="22">
        <f t="shared" ref="O18:O26" ca="1" si="12">IF(L18&gt;0,N18*100/L18,0)</f>
        <v>64.547550344697285</v>
      </c>
      <c r="P18" s="22">
        <f t="shared" ref="P18:P26" ca="1" si="13">IF(M18&gt;0,N18*100/M18,0)</f>
        <v>77.018826264287057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84276190.210000008</v>
      </c>
      <c r="N20" s="30">
        <f t="shared" ca="1" si="15"/>
        <v>64908532.519999996</v>
      </c>
      <c r="O20" s="30">
        <f t="shared" ca="1" si="12"/>
        <v>64.547550344697285</v>
      </c>
      <c r="P20" s="30">
        <f t="shared" ca="1" si="13"/>
        <v>77.018826264287057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71297198.400000006</v>
      </c>
      <c r="N21" s="38">
        <f t="shared" ca="1" si="16"/>
        <v>52110040.709999993</v>
      </c>
      <c r="O21" s="38">
        <f t="shared" ca="1" si="12"/>
        <v>60.356522153582951</v>
      </c>
      <c r="P21" s="38">
        <f t="shared" ca="1" si="13"/>
        <v>73.088482969058688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71297198.400000006</v>
      </c>
      <c r="N23" s="45">
        <f ca="1">N46+N58+N71+N93+N124+N137+N154+N186+N170+N266+N282+N303+N320+N333+N350+N394+N407</f>
        <v>52110040.709999993</v>
      </c>
      <c r="O23" s="45">
        <f t="shared" ca="1" si="12"/>
        <v>60.356522153582951</v>
      </c>
      <c r="P23" s="45">
        <f t="shared" ca="1" si="13"/>
        <v>73.088482969058688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12978991.809999999</v>
      </c>
      <c r="N24" s="38">
        <f t="shared" ca="1" si="18"/>
        <v>12798491.809999999</v>
      </c>
      <c r="O24" s="38">
        <f t="shared" ca="1" si="12"/>
        <v>89.989536147712712</v>
      </c>
      <c r="P24" s="38">
        <f t="shared" ca="1" si="13"/>
        <v>98.609291055558487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12978991.809999999</v>
      </c>
      <c r="N26" s="52">
        <f t="shared" ca="1" si="20"/>
        <v>12798491.809999999</v>
      </c>
      <c r="O26" s="52">
        <f t="shared" ca="1" si="12"/>
        <v>89.989536147712712</v>
      </c>
      <c r="P26" s="52">
        <f t="shared" ca="1" si="13"/>
        <v>98.609291055558487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53712081</v>
      </c>
      <c r="M28" s="22">
        <f t="shared" ca="1" si="21"/>
        <v>53689914</v>
      </c>
      <c r="N28" s="22">
        <f t="shared" ca="1" si="21"/>
        <v>23733370.419999994</v>
      </c>
      <c r="O28" s="22">
        <f t="shared" ref="O28:O37" ca="1" si="22">IF(L28&gt;0,N28*100/L28,0)</f>
        <v>44.18627984270428</v>
      </c>
      <c r="P28" s="22">
        <f t="shared" ref="P28:P31" ca="1" si="23">IF(M28&gt;0,N28*100/M28,0)</f>
        <v>44.204523069267715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53712081</v>
      </c>
      <c r="M30" s="30">
        <f t="shared" ca="1" si="25"/>
        <v>53689914</v>
      </c>
      <c r="N30" s="30">
        <f t="shared" ca="1" si="25"/>
        <v>23733370.419999994</v>
      </c>
      <c r="O30" s="30">
        <f t="shared" ca="1" si="22"/>
        <v>44.18627984270428</v>
      </c>
      <c r="P30" s="30">
        <f t="shared" ca="1" si="23"/>
        <v>44.204523069267715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53712081</v>
      </c>
      <c r="M31" s="38">
        <f t="shared" ca="1" si="26"/>
        <v>53689914</v>
      </c>
      <c r="N31" s="38">
        <f t="shared" ca="1" si="26"/>
        <v>23733370.419999994</v>
      </c>
      <c r="O31" s="38">
        <f t="shared" ca="1" si="22"/>
        <v>44.18627984270428</v>
      </c>
      <c r="P31" s="38">
        <f t="shared" ca="1" si="23"/>
        <v>44.204523069267715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53712081</v>
      </c>
      <c r="M33" s="45">
        <f t="shared" ca="1" si="28"/>
        <v>53689914</v>
      </c>
      <c r="N33" s="45">
        <f t="shared" ca="1" si="28"/>
        <v>23733370.419999994</v>
      </c>
      <c r="O33" s="45">
        <f t="shared" ca="1" si="22"/>
        <v>44.18627984270428</v>
      </c>
      <c r="P33" s="45">
        <f t="shared" ref="P33:P37" ca="1" si="29">IF(M33&gt;0,N33*100/M33,0)</f>
        <v>44.204523069267715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80512090.210000008</v>
      </c>
      <c r="N37" s="59">
        <f ca="1">N41+N53+N66+N88+N119+N132+N149+N165+N181+N261+N277+N298+N315+N328+N345+N389+N402</f>
        <v>64908532.519999981</v>
      </c>
      <c r="O37" s="59">
        <f t="shared" ca="1" si="22"/>
        <v>64.547550344697257</v>
      </c>
      <c r="P37" s="59">
        <f t="shared" ca="1" si="29"/>
        <v>80.61960924216325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13480371.4</v>
      </c>
      <c r="N41" s="85">
        <f t="shared" ca="1" si="33"/>
        <v>8415085.9199999999</v>
      </c>
      <c r="O41" s="85">
        <f t="shared" ref="O41:O45" ca="1" si="34">IF(L41&gt;0,N41*100/L41,0)</f>
        <v>63.782300459697808</v>
      </c>
      <c r="P41" s="85">
        <f t="shared" ref="P41:P49" ca="1" si="35">IF(M41&gt;0,N41*100/M41,0)</f>
        <v>62.424733490651448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13480371.4</v>
      </c>
      <c r="N43" s="92">
        <f t="shared" ca="1" si="37"/>
        <v>8415085.9199999999</v>
      </c>
      <c r="O43" s="92">
        <f t="shared" ca="1" si="34"/>
        <v>63.782300459697808</v>
      </c>
      <c r="P43" s="92">
        <f t="shared" ca="1" si="35"/>
        <v>62.424733490651448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13480371.4</v>
      </c>
      <c r="N44" s="38">
        <f t="shared" ca="1" si="38"/>
        <v>8415085.9199999999</v>
      </c>
      <c r="O44" s="38">
        <f t="shared" ca="1" si="34"/>
        <v>63.782300459697808</v>
      </c>
      <c r="P44" s="38">
        <f t="shared" ca="1" si="35"/>
        <v>62.424733490651448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"),13480371.4)</f>
        <v>13480371.4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"),8415085.92)</f>
        <v>8415085.9199999999</v>
      </c>
      <c r="O46" s="45">
        <f ca="1">IF(M46&gt;0,N46*100/M46,0)</f>
        <v>62.424733490651448</v>
      </c>
      <c r="P46" s="45">
        <f t="shared" ca="1" si="35"/>
        <v>62.424733490651448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20274991.809999999</v>
      </c>
      <c r="N53" s="116">
        <f t="shared" ca="1" si="41"/>
        <v>17998275.239999998</v>
      </c>
      <c r="O53" s="116">
        <f t="shared" ref="O53:O61" ca="1" si="42">IF(L53&gt;0,N53*100/L53,0)</f>
        <v>71.975538928501436</v>
      </c>
      <c r="P53" s="116">
        <f t="shared" ref="P53:P61" ca="1" si="43">IF(M53&gt;0,N53*100/M53,0)</f>
        <v>88.770813861058713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20274991.809999999</v>
      </c>
      <c r="N55" s="123">
        <f t="shared" ca="1" si="45"/>
        <v>17998275.239999998</v>
      </c>
      <c r="O55" s="123">
        <f t="shared" ca="1" si="42"/>
        <v>71.975538928501436</v>
      </c>
      <c r="P55" s="123">
        <f t="shared" ca="1" si="43"/>
        <v>88.770813861058713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12329505</v>
      </c>
      <c r="N56" s="38">
        <f t="shared" ca="1" si="46"/>
        <v>10232788.43</v>
      </c>
      <c r="O56" s="38">
        <f t="shared" ca="1" si="42"/>
        <v>64.215401409467148</v>
      </c>
      <c r="P56" s="38">
        <f t="shared" ca="1" si="43"/>
        <v>82.994316722366392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"),12329505)</f>
        <v>12329505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"),10232788.43)</f>
        <v>10232788.43</v>
      </c>
      <c r="O58" s="45">
        <f t="shared" ca="1" si="42"/>
        <v>64.215401409467148</v>
      </c>
      <c r="P58" s="45">
        <f t="shared" ca="1" si="43"/>
        <v>82.994316722366392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7945486.8099999996</v>
      </c>
      <c r="N59" s="38">
        <f t="shared" ca="1" si="47"/>
        <v>7765486.8099999996</v>
      </c>
      <c r="O59" s="38">
        <f t="shared" ca="1" si="42"/>
        <v>85.607836070995475</v>
      </c>
      <c r="P59" s="38">
        <f t="shared" ca="1" si="43"/>
        <v>97.734562975128782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"),7945486.81)</f>
        <v>7945486.8099999996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"),7765486.81)</f>
        <v>7765486.8099999996</v>
      </c>
      <c r="O61" s="52">
        <f t="shared" ca="1" si="42"/>
        <v>85.607836070995475</v>
      </c>
      <c r="P61" s="52">
        <f t="shared" ca="1" si="43"/>
        <v>97.734562975128782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17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760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9957240</v>
      </c>
      <c r="N66" s="155">
        <f t="shared" ca="1" si="51"/>
        <v>8161024.8299999898</v>
      </c>
      <c r="O66" s="155">
        <f t="shared" ref="O66:O74" ca="1" si="52">IF(L66&gt;0,N66*100/L66,0)</f>
        <v>63.10233379726273</v>
      </c>
      <c r="P66" s="155">
        <f t="shared" ref="P66:P74" ca="1" si="53">IF(M66&gt;0,N66*100/M66,0)</f>
        <v>81.960712305819584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9957240</v>
      </c>
      <c r="N68" s="45">
        <f t="shared" ca="1" si="55"/>
        <v>8161024.8299999898</v>
      </c>
      <c r="O68" s="45">
        <f t="shared" ca="1" si="52"/>
        <v>63.10233379726273</v>
      </c>
      <c r="P68" s="45">
        <f t="shared" ca="1" si="53"/>
        <v>81.960712305819584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9957240</v>
      </c>
      <c r="N69" s="38">
        <f t="shared" ca="1" si="56"/>
        <v>8161024.8299999898</v>
      </c>
      <c r="O69" s="38">
        <f t="shared" ca="1" si="52"/>
        <v>63.10233379726273</v>
      </c>
      <c r="P69" s="38">
        <f t="shared" ca="1" si="53"/>
        <v>81.960712305819584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"),9957240)</f>
        <v>9957240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"),8161024.82999999)</f>
        <v>8161024.8299999898</v>
      </c>
      <c r="O71" s="45">
        <f t="shared" ca="1" si="52"/>
        <v>63.10233379726273</v>
      </c>
      <c r="P71" s="45">
        <f t="shared" ca="1" si="53"/>
        <v>81.960712305819584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17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760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"),270)</f>
        <v>270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"),8)</f>
        <v>8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"),373)</f>
        <v>373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"),6)</f>
        <v>6</v>
      </c>
      <c r="K84" s="163">
        <f t="shared" ca="1" si="59"/>
        <v>35.294117647058826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795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265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1878460</v>
      </c>
      <c r="N88" s="155">
        <f t="shared" ca="1" si="64"/>
        <v>1601138.47</v>
      </c>
      <c r="O88" s="155">
        <f t="shared" ref="O88:O96" ca="1" si="65">IF(L88&gt;0,N88*100/L88,0)</f>
        <v>69.637121073736765</v>
      </c>
      <c r="P88" s="155">
        <f t="shared" ref="P88:P96" ca="1" si="66">IF(M88&gt;0,N88*100/M88,0)</f>
        <v>85.236761496119158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1878460</v>
      </c>
      <c r="N90" s="45">
        <f t="shared" ca="1" si="68"/>
        <v>1601138.47</v>
      </c>
      <c r="O90" s="45">
        <f t="shared" ca="1" si="65"/>
        <v>69.637121073736765</v>
      </c>
      <c r="P90" s="45">
        <f t="shared" ca="1" si="66"/>
        <v>85.236761496119158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1878460</v>
      </c>
      <c r="N91" s="38">
        <f t="shared" ca="1" si="69"/>
        <v>1601138.47</v>
      </c>
      <c r="O91" s="38">
        <f t="shared" ca="1" si="65"/>
        <v>69.637121073736765</v>
      </c>
      <c r="P91" s="38">
        <f t="shared" ca="1" si="66"/>
        <v>85.236761496119158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"),1878460)</f>
        <v>1878460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"),1601138.47)</f>
        <v>1601138.47</v>
      </c>
      <c r="O93" s="45">
        <f t="shared" ca="1" si="65"/>
        <v>69.637121073736765</v>
      </c>
      <c r="P93" s="45">
        <f t="shared" ca="1" si="66"/>
        <v>85.236761496119158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795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265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27</v>
      </c>
      <c r="K100" s="38">
        <f t="shared" ca="1" si="71"/>
        <v>81.818181818181813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"),795)</f>
        <v>795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"),265)</f>
        <v>265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"),265)</f>
        <v>265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"),17)</f>
        <v>17</v>
      </c>
      <c r="K106" s="38">
        <f t="shared" ref="K106:K107" ca="1" si="73">IF(I106&gt;0,J106*100/I106,0)</f>
        <v>94.444444444444443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"),17)</f>
        <v>17</v>
      </c>
      <c r="K107" s="38">
        <f t="shared" ca="1" si="73"/>
        <v>94.444444444444443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"),9)</f>
        <v>9</v>
      </c>
      <c r="K109" s="38">
        <f t="shared" ref="K109:K116" ca="1" si="74">IF(I109&gt;0,J109*100/I109,0)</f>
        <v>60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"),10)</f>
        <v>10</v>
      </c>
      <c r="K110" s="38">
        <f t="shared" ca="1" si="74"/>
        <v>66.666666666666671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20</v>
      </c>
      <c r="K111" s="195">
        <f t="shared" ca="1" si="74"/>
        <v>7.5471698113207548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1</v>
      </c>
      <c r="K112" s="195">
        <f t="shared" ca="1" si="74"/>
        <v>3.0303030303030303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"),20)</f>
        <v>20</v>
      </c>
      <c r="K113" s="38">
        <f t="shared" ca="1" si="74"/>
        <v>7.5471698113207548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"),20)</f>
        <v>20</v>
      </c>
      <c r="K114" s="38">
        <f t="shared" ca="1" si="74"/>
        <v>7.5471698113207548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"),1)</f>
        <v>1</v>
      </c>
      <c r="K115" s="38">
        <f t="shared" ca="1" si="74"/>
        <v>5.5555555555555554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"),6)</f>
        <v>6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"),6)</f>
        <v>6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507785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14</v>
      </c>
      <c r="J130" s="144">
        <f t="shared" ca="1" si="83"/>
        <v>14</v>
      </c>
      <c r="K130" s="145">
        <f t="shared" ref="K130:K131" ca="1" si="84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140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2309250</v>
      </c>
      <c r="N132" s="155">
        <f t="shared" ca="1" si="86"/>
        <v>2081447</v>
      </c>
      <c r="O132" s="155">
        <f t="shared" ref="O132:O140" ca="1" si="87">IF(L132&gt;0,N132*100/L132,0)</f>
        <v>84.592066065992839</v>
      </c>
      <c r="P132" s="155">
        <f t="shared" ref="P132:P140" ca="1" si="88">IF(M132&gt;0,N132*100/M132,0)</f>
        <v>90.135195409765075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2309250</v>
      </c>
      <c r="N134" s="45">
        <f t="shared" ca="1" si="90"/>
        <v>2081447</v>
      </c>
      <c r="O134" s="45">
        <f t="shared" ca="1" si="87"/>
        <v>84.592066065992839</v>
      </c>
      <c r="P134" s="45">
        <f t="shared" ca="1" si="88"/>
        <v>90.135195409765075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867250</v>
      </c>
      <c r="N135" s="38">
        <f t="shared" ca="1" si="91"/>
        <v>639947</v>
      </c>
      <c r="O135" s="38">
        <f t="shared" ca="1" si="87"/>
        <v>62.82798433097382</v>
      </c>
      <c r="P135" s="38">
        <f t="shared" ca="1" si="88"/>
        <v>73.790371865090805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"),867250)</f>
        <v>867250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"),639947)</f>
        <v>639947</v>
      </c>
      <c r="O137" s="45">
        <f t="shared" ca="1" si="87"/>
        <v>62.82798433097382</v>
      </c>
      <c r="P137" s="45">
        <f t="shared" ca="1" si="88"/>
        <v>73.790371865090805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"),70)</f>
        <v>70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"),140)</f>
        <v>140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"),80)</f>
        <v>80</v>
      </c>
      <c r="K144" s="38">
        <f t="shared" ca="1" si="93"/>
        <v>114.28571428571429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"),140)</f>
        <v>140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"),14)</f>
        <v>14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130</v>
      </c>
      <c r="J148" s="144">
        <f t="shared" ca="1" si="94"/>
        <v>129</v>
      </c>
      <c r="K148" s="145">
        <f ca="1">IF(I148&gt;0,J148*100/I148,0)</f>
        <v>99.230769230769226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157410</v>
      </c>
      <c r="N149" s="155">
        <f t="shared" ca="1" si="95"/>
        <v>107268</v>
      </c>
      <c r="O149" s="155">
        <f t="shared" ref="O149:O157" ca="1" si="96">IF(L149&gt;0,N149*100/L149,0)</f>
        <v>165.02769230769232</v>
      </c>
      <c r="P149" s="155">
        <f t="shared" ref="P149:P157" ca="1" si="97">IF(M149&gt;0,N149*100/M149,0)</f>
        <v>68.145607013531546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157410</v>
      </c>
      <c r="N151" s="45">
        <f t="shared" ca="1" si="99"/>
        <v>107268</v>
      </c>
      <c r="O151" s="45">
        <f t="shared" ca="1" si="96"/>
        <v>165.02769230769232</v>
      </c>
      <c r="P151" s="45">
        <f t="shared" ca="1" si="97"/>
        <v>68.145607013531546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157410</v>
      </c>
      <c r="N152" s="38">
        <f t="shared" ca="1" si="100"/>
        <v>107268</v>
      </c>
      <c r="O152" s="38">
        <f t="shared" ca="1" si="96"/>
        <v>165.02769230769232</v>
      </c>
      <c r="P152" s="38">
        <f t="shared" ca="1" si="97"/>
        <v>68.145607013531546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"),157410)</f>
        <v>157410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"),107268)</f>
        <v>107268</v>
      </c>
      <c r="O154" s="45">
        <f t="shared" ca="1" si="96"/>
        <v>165.02769230769232</v>
      </c>
      <c r="P154" s="45">
        <f t="shared" ca="1" si="97"/>
        <v>68.145607013531546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"),129)</f>
        <v>129</v>
      </c>
      <c r="K159" s="38">
        <f ca="1">IF(I159&gt;0,J159*100/I159,0)</f>
        <v>99.230769230769226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212</v>
      </c>
      <c r="J164" s="253">
        <f t="shared" ca="1" si="102"/>
        <v>212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506730</v>
      </c>
      <c r="N165" s="155">
        <f t="shared" ca="1" si="103"/>
        <v>478865</v>
      </c>
      <c r="O165" s="155">
        <f t="shared" ref="O165:O173" ca="1" si="104">IF(L165&gt;0,N165*100/L165,0)</f>
        <v>113.45898687390418</v>
      </c>
      <c r="P165" s="155">
        <f t="shared" ref="P165:P173" ca="1" si="105">IF(M165&gt;0,N165*100/M165,0)</f>
        <v>94.501016320328375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506730</v>
      </c>
      <c r="N167" s="45">
        <f t="shared" ca="1" si="107"/>
        <v>478865</v>
      </c>
      <c r="O167" s="45">
        <f t="shared" ca="1" si="104"/>
        <v>113.45898687390418</v>
      </c>
      <c r="P167" s="45">
        <f t="shared" ca="1" si="105"/>
        <v>94.501016320328375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506730</v>
      </c>
      <c r="N168" s="38">
        <f t="shared" ca="1" si="108"/>
        <v>478865</v>
      </c>
      <c r="O168" s="38">
        <f t="shared" ca="1" si="104"/>
        <v>113.45898687390418</v>
      </c>
      <c r="P168" s="38">
        <f t="shared" ca="1" si="105"/>
        <v>94.501016320328375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"),506730)</f>
        <v>506730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"),478865)</f>
        <v>478865</v>
      </c>
      <c r="O170" s="45">
        <f t="shared" ca="1" si="104"/>
        <v>113.45898687390418</v>
      </c>
      <c r="P170" s="45">
        <f t="shared" ca="1" si="105"/>
        <v>94.501016320328375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212</v>
      </c>
      <c r="J174" s="261">
        <f t="shared" ca="1" si="110"/>
        <v>212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120</v>
      </c>
      <c r="J180" s="253">
        <f t="shared" ca="1" si="111"/>
        <v>120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3077400</v>
      </c>
      <c r="N181" s="155">
        <f t="shared" ca="1" si="112"/>
        <v>2237768.48</v>
      </c>
      <c r="O181" s="155">
        <f t="shared" ref="O181:O189" ca="1" si="113">IF(L181&gt;0,N181*100/L181,0)</f>
        <v>60.953026993163185</v>
      </c>
      <c r="P181" s="155">
        <f t="shared" ref="P181:P189" ca="1" si="114">IF(M181&gt;0,N181*100/M181,0)</f>
        <v>72.716204588288818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3077400</v>
      </c>
      <c r="N183" s="45">
        <f t="shared" ca="1" si="116"/>
        <v>2237768.48</v>
      </c>
      <c r="O183" s="45">
        <f t="shared" ca="1" si="113"/>
        <v>60.953026993163185</v>
      </c>
      <c r="P183" s="45">
        <f t="shared" ca="1" si="114"/>
        <v>72.716204588288818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3077400</v>
      </c>
      <c r="N184" s="38">
        <f t="shared" ca="1" si="117"/>
        <v>2237768.48</v>
      </c>
      <c r="O184" s="38">
        <f t="shared" ca="1" si="113"/>
        <v>60.953026993163185</v>
      </c>
      <c r="P184" s="38">
        <f t="shared" ca="1" si="114"/>
        <v>72.716204588288818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"),3077400)</f>
        <v>3077400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"),2237768.48)</f>
        <v>2237768.48</v>
      </c>
      <c r="O186" s="45">
        <f t="shared" ca="1" si="113"/>
        <v>60.953026993163185</v>
      </c>
      <c r="P186" s="45">
        <f t="shared" ca="1" si="114"/>
        <v>72.716204588288818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80</v>
      </c>
      <c r="J190" s="272">
        <f t="shared" ca="1" si="119"/>
        <v>39</v>
      </c>
      <c r="K190" s="273">
        <f ca="1">IF(I190&gt;0,J190*100/I190,0)</f>
        <v>48.75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"),27725)</f>
        <v>27725</v>
      </c>
      <c r="O191" s="155">
        <f ca="1">IF(L191&gt;0,N191*100/L191,0)</f>
        <v>23.104166666666668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"),39)</f>
        <v>39</v>
      </c>
      <c r="K193" s="38">
        <f ca="1">IF(I193&gt;0,J193*100/I193,0)</f>
        <v>48.75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1200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"),1185)</f>
        <v>1185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58</v>
      </c>
      <c r="J197" s="272">
        <f t="shared" ca="1" si="120"/>
        <v>58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624598</v>
      </c>
      <c r="O198" s="155">
        <f ca="1">IF(L198&gt;0,N198*100/L198,0)</f>
        <v>79.163244613434728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"),36508)</f>
        <v>36508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"),460570)</f>
        <v>460570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"),112520)</f>
        <v>112520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"),15000)</f>
        <v>15000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"),58)</f>
        <v>58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"),34)</f>
        <v>34</v>
      </c>
      <c r="K206" s="163">
        <f t="shared" ref="K206:K208" ca="1" si="121">IF(I206&gt;0,J206*100/I206,0)</f>
        <v>58.620689655172413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"),7)</f>
        <v>7</v>
      </c>
      <c r="K207" s="163">
        <f t="shared" ca="1" si="121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2">I215</f>
        <v>27</v>
      </c>
      <c r="J208" s="272">
        <f t="shared" ca="1" si="122"/>
        <v>27</v>
      </c>
      <c r="K208" s="273">
        <f t="shared" ca="1" si="121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278217.25</v>
      </c>
      <c r="O209" s="155">
        <f ca="1">IF(L209&gt;0,N209*100/L209,0)</f>
        <v>73.602447089947091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"),16460)</f>
        <v>16460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"),55000)</f>
        <v>55000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"),206757.25)</f>
        <v>206757.25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"),11)</f>
        <v>11</v>
      </c>
      <c r="K214" s="38">
        <f t="shared" ref="K214:K216" ca="1" si="123">IF(I214&gt;0,J214*100/I214,0)</f>
        <v>40.74074074074074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4">I224</f>
        <v>858800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47753</v>
      </c>
      <c r="O217" s="155">
        <f ca="1">IF(L217&gt;0,N217*100/L217,0)</f>
        <v>13.144233415909717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"),5700)</f>
        <v>5700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"),7068)</f>
        <v>7068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"),34985)</f>
        <v>34985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"),92800)</f>
        <v>92800</v>
      </c>
      <c r="K223" s="163">
        <f t="shared" ref="K223:K226" ca="1" si="125">IF(I223&gt;0,J223*100/I223,0)</f>
        <v>10.805775500698649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80</v>
      </c>
      <c r="J226" s="299">
        <f t="shared" ca="1" si="126"/>
        <v>80</v>
      </c>
      <c r="K226" s="300">
        <f t="shared" ca="1" si="125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190300</v>
      </c>
      <c r="O227" s="311">
        <f ca="1">IF(L227&gt;0,N227*100/L227,0)</f>
        <v>34.226618705035975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105280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85020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80</v>
      </c>
      <c r="J233" s="326">
        <f t="shared" ca="1" si="129"/>
        <v>80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40</v>
      </c>
      <c r="J235" s="326">
        <f t="shared" ca="1" si="130"/>
        <v>0</v>
      </c>
      <c r="K235" s="322">
        <f t="shared" ref="K235:K237" ca="1" si="131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2</v>
      </c>
      <c r="J236" s="326">
        <f t="shared" ca="1" si="132"/>
        <v>1</v>
      </c>
      <c r="K236" s="322">
        <f t="shared" ca="1" si="131"/>
        <v>50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80</v>
      </c>
      <c r="J237" s="345">
        <f t="shared" ca="1" si="133"/>
        <v>80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190300</v>
      </c>
      <c r="O238" s="356">
        <f ca="1">IF(L238&gt;0,N238*100/L238,0)</f>
        <v>34.226618705035975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"),105280)</f>
        <v>105280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"),85020)</f>
        <v>85020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244"")+IMPORTRANGE(""https://docs.google.com/spreadsheets/d/1SaMnqrwRGmFYNR0MhpWmHuL5niYUd5E7vDq8X7whAlI/edit?usp=share_li"&amp;"nk"",""ขอนแก่น!J244"")
+IMPORTRANGE(""https://docs.google.com/spreadsheets/d/1xQzEtGHhTTgxHh6YUkKY1P4dRyjVhS74dGswLfAASA4/edit?usp=share_link"",""ชัยภูมิ!J244"")+IMPORTRANGE(""https://docs.google.com/spreadsheets/d/1EXMBoBxU3OFbjT2TRpneM33qFjqDzrKmn9ydcfl"&amp;"fI0o/edit?usp=share_link"",""นครพนม!J244"")+IMPORTRANGE(""https://docs.google.com/spreadsheets/d/1bDQrolntRWtHumK8W-x-HXKntwxB9S3sF5aDeRS66Ko/edit?usp=share_link"",""นครราชสีมา!J244"")+IMPORTRANGE(""https://docs.google.com/spreadsheets/d/1_MzZ-2gVPiCW-d2V"&amp;"cafoCmFJQTSrZ6SQyFcMqRRQQ2w/edit?usp=share_link"",""บึงกาฬ!J244"")
+IMPORTRANGE(""https://docs.google.com/spreadsheets/d/1B3lPpzOuaNwVItLwLEZYl_qEblfcx7dRnbRkAw0l-pE/edit?usp=share_link"",""บุรีรัมย์!J244"")+IMPORTRANGE(""https://docs.google.com/spreadshe"&amp;"ets/d/19GOkiOqnzYbevLYWrMk4qFOXe3rX14BkSA8X-mq-a40/edit?usp=share_link"",""มหาสารคาม!J244"")+IMPORTRANGE(""https://docs.google.com/spreadsheets/d/1uMKqWwuNQ-TCKboGA3Bb1qXb5uj2-faACNUINCz8PN4/edit?usp=share_link"",""มุกดาหาร!J244"")+IMPORTRANGE(""https://d"&amp;"ocs.google.com/spreadsheets/d/1oKaccgDdQABndOzGr688Dbfxb_V3YcF67VqEPBtdzsc/edit?usp=share_link"",""ยโสธร!J244"")+IMPORTRANGE(""https://docs.google.com/spreadsheets/d/1BRgc8xKpxZ0PX-gauieMVkV_IOxKSotf0yW8MabGprQ/edit?usp=share_link"",""ร้อยเอ็ด!J244"")+IMP"&amp;"ORTRANGE(""https://docs.google.com/spreadsheets/d/1IdolZc-dfdgMwAm_KZxYJl1sUOcIgnbGQzbWOlddedo/edit?usp=share_link"",""เลย!J244"")+IMPORTRANGE(""https://docs.google.com/spreadsheets/d/1tZ0nmtGuIRCaGAMXHlQU8EpR9LOAJvyKfc4f7EFmE34/edit?usp=share_link"",""ศร"&amp;"ีสะเกษ!J244"")+IMPORTRANGE(""https://docs.google.com/spreadsheets/d/1QC8psz9w0f9IVE9Xuc2FT_btkaOzZbbUSgYObpBuetM/edit?usp=share_link"",""สกลนคร!J244"")+IMPORTRANGE(""https://docs.google.com/spreadsheets/d/1wPdvRbu02d33MYVlbsCnyTiZpefEBs9NNktAnT1HZvw/edit?"&amp;"usp=share_link"",""สุรินทร์!J244"")+IMPORTRANGE(""https://docs.google.com/spreadsheets/d/1GVExpf-Exi_2gmuqTYH28fseTB9MoKPXWcXCbSt_YrM/edit?usp=share_link"",""หนองคาย!J244"")+IMPORTRANGE(""https://docs.google.com/spreadsheets/d/16UeMz0UgOB5BZcoxP75eYGcLFtG"&amp;"YRn9GoesD4OX9m5U/edit?usp=share_link"",""หนองบัวลำภู!J244"")+IMPORTRANGE(""https://docs.google.com/spreadsheets/d/1uUP8Zo1-qaJLuIkRU0qlwLSE3DHkbdrrj2JGJiWBQZE/edit?usp=share_link"",""อำนาจเจริญ!J244"")+IMPORTRANGE(""https://docs.google.com/spreadsheets/d/"&amp;"1hb_taSOHanzRjqfzWPiFo8yiT83VV1L7vvUCLhOiHKc/edit?usp=share_link"",""อุดรธานี!J244"")+IMPORTRANGE(""https://docs.google.com/spreadsheets/d/17IOkEwkUd63EGNfyNDnM5de9YlZ7rwzTiW6-dokVjKI/edit?usp=share_link"",""อุบลราชธานี!J244"")
"),80)</f>
        <v>80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246"")+IMPORTRANGE(""https://docs.google.com/spreadsheets/d/1SaMnqrwRGmFYNR0MhpWmHuL5niYUd5E7vDq8X7whAlI/edit?usp=share_li"&amp;"nk"",""ขอนแก่น!J246"")
+IMPORTRANGE(""https://docs.google.com/spreadsheets/d/1xQzEtGHhTTgxHh6YUkKY1P4dRyjVhS74dGswLfAASA4/edit?usp=share_link"",""ชัยภูมิ!J246"")+IMPORTRANGE(""https://docs.google.com/spreadsheets/d/1EXMBoBxU3OFbjT2TRpneM33qFjqDzrKmn9ydcfl"&amp;"fI0o/edit?usp=share_link"",""นครพนม!J246"")+IMPORTRANGE(""https://docs.google.com/spreadsheets/d/1bDQrolntRWtHumK8W-x-HXKntwxB9S3sF5aDeRS66Ko/edit?usp=share_link"",""นครราชสีมา!J246"")+IMPORTRANGE(""https://docs.google.com/spreadsheets/d/1_MzZ-2gVPiCW-d2V"&amp;"cafoCmFJQTSrZ6SQyFcMqRRQQ2w/edit?usp=share_link"",""บึงกาฬ!J246"")
+IMPORTRANGE(""https://docs.google.com/spreadsheets/d/1B3lPpzOuaNwVItLwLEZYl_qEblfcx7dRnbRkAw0l-pE/edit?usp=share_link"",""บุรีรัมย์!J246"")+IMPORTRANGE(""https://docs.google.com/spreadshe"&amp;"ets/d/19GOkiOqnzYbevLYWrMk4qFOXe3rX14BkSA8X-mq-a40/edit?usp=share_link"",""มหาสารคาม!J246"")+IMPORTRANGE(""https://docs.google.com/spreadsheets/d/1uMKqWwuNQ-TCKboGA3Bb1qXb5uj2-faACNUINCz8PN4/edit?usp=share_link"",""มุกดาหาร!J246"")+IMPORTRANGE(""https://d"&amp;"ocs.google.com/spreadsheets/d/1oKaccgDdQABndOzGr688Dbfxb_V3YcF67VqEPBtdzsc/edit?usp=share_link"",""ยโสธร!J246"")+IMPORTRANGE(""https://docs.google.com/spreadsheets/d/1BRgc8xKpxZ0PX-gauieMVkV_IOxKSotf0yW8MabGprQ/edit?usp=share_link"",""ร้อยเอ็ด!J246"")+IMP"&amp;"ORTRANGE(""https://docs.google.com/spreadsheets/d/1IdolZc-dfdgMwAm_KZxYJl1sUOcIgnbGQzbWOlddedo/edit?usp=share_link"",""เลย!J246"")+IMPORTRANGE(""https://docs.google.com/spreadsheets/d/1tZ0nmtGuIRCaGAMXHlQU8EpR9LOAJvyKfc4f7EFmE34/edit?usp=share_link"",""ศร"&amp;"ีสะเกษ!J246"")+IMPORTRANGE(""https://docs.google.com/spreadsheets/d/1QC8psz9w0f9IVE9Xuc2FT_btkaOzZbbUSgYObpBuetM/edit?usp=share_link"",""สกลนคร!J246"")+IMPORTRANGE(""https://docs.google.com/spreadsheets/d/1wPdvRbu02d33MYVlbsCnyTiZpefEBs9NNktAnT1HZvw/edit?"&amp;"usp=share_link"",""สุรินทร์!J246"")+IMPORTRANGE(""https://docs.google.com/spreadsheets/d/1GVExpf-Exi_2gmuqTYH28fseTB9MoKPXWcXCbSt_YrM/edit?usp=share_link"",""หนองคาย!J246"")+IMPORTRANGE(""https://docs.google.com/spreadsheets/d/16UeMz0UgOB5BZcoxP75eYGcLFtG"&amp;"YRn9GoesD4OX9m5U/edit?usp=share_link"",""หนองบัวลำภู!J246"")+IMPORTRANGE(""https://docs.google.com/spreadsheets/d/1uUP8Zo1-qaJLuIkRU0qlwLSE3DHkbdrrj2JGJiWBQZE/edit?usp=share_link"",""อำนาจเจริญ!J246"")+IMPORTRANGE(""https://docs.google.com/spreadsheets/d/"&amp;"1hb_taSOHanzRjqfzWPiFo8yiT83VV1L7vvUCLhOiHKc/edit?usp=share_link"",""อุดรธานี!J246"")+IMPORTRANGE(""https://docs.google.com/spreadsheets/d/17IOkEwkUd63EGNfyNDnM5de9YlZ7rwzTiW6-dokVjKI/edit?usp=share_link"",""อุบลราชธานี!J246"")
"),0)</f>
        <v>0</v>
      </c>
      <c r="K246" s="45">
        <f ca="1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"),1)</f>
        <v>1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462</v>
      </c>
      <c r="J260" s="253">
        <f t="shared" ca="1" si="136"/>
        <v>462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706900</v>
      </c>
      <c r="N261" s="155">
        <f t="shared" ca="1" si="137"/>
        <v>628137.01</v>
      </c>
      <c r="O261" s="155">
        <f t="shared" ref="O261:O269" ca="1" si="138">IF(L261&gt;0,N261*100/L261,0)</f>
        <v>74.34453899869807</v>
      </c>
      <c r="P261" s="155">
        <f t="shared" ref="P261:P269" ca="1" si="139">IF(M261&gt;0,N261*100/M261,0)</f>
        <v>88.857972839156886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706900</v>
      </c>
      <c r="N263" s="45">
        <f t="shared" ca="1" si="141"/>
        <v>628137.01</v>
      </c>
      <c r="O263" s="45">
        <f t="shared" ca="1" si="138"/>
        <v>74.34453899869807</v>
      </c>
      <c r="P263" s="45">
        <f t="shared" ca="1" si="139"/>
        <v>88.857972839156886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706900</v>
      </c>
      <c r="N264" s="38">
        <f t="shared" ca="1" si="142"/>
        <v>628137.01</v>
      </c>
      <c r="O264" s="38">
        <f t="shared" ca="1" si="138"/>
        <v>74.34453899869807</v>
      </c>
      <c r="P264" s="38">
        <f t="shared" ca="1" si="139"/>
        <v>88.857972839156886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"),706900)</f>
        <v>706900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"),628137.01)</f>
        <v>628137.01</v>
      </c>
      <c r="O266" s="45">
        <f t="shared" ca="1" si="138"/>
        <v>74.34453899869807</v>
      </c>
      <c r="P266" s="45">
        <f t="shared" ca="1" si="139"/>
        <v>88.857972839156886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435</v>
      </c>
      <c r="J275" s="406">
        <f t="shared" ca="1" si="144"/>
        <v>180</v>
      </c>
      <c r="K275" s="407">
        <f t="shared" ref="K275:K276" ca="1" si="145">IF(I275&gt;0,J275*100/I275,0)</f>
        <v>41.379310344827587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6">I287</f>
        <v>4350</v>
      </c>
      <c r="J276" s="406">
        <f t="shared" ca="1" si="146"/>
        <v>3650</v>
      </c>
      <c r="K276" s="407">
        <f t="shared" ca="1" si="145"/>
        <v>83.908045977011497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2059300</v>
      </c>
      <c r="N277" s="155">
        <f t="shared" ca="1" si="147"/>
        <v>1500068.93</v>
      </c>
      <c r="O277" s="155">
        <f t="shared" ref="O277:O285" ca="1" si="148">IF(L277&gt;0,N277*100/L277,0)</f>
        <v>54.675005922853465</v>
      </c>
      <c r="P277" s="155">
        <f t="shared" ref="P277:P285" ca="1" si="149">IF(M277&gt;0,N277*100/M277,0)</f>
        <v>72.843632787840534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2059300</v>
      </c>
      <c r="N279" s="45">
        <f t="shared" ca="1" si="151"/>
        <v>1500068.93</v>
      </c>
      <c r="O279" s="45">
        <f t="shared" ca="1" si="148"/>
        <v>54.675005922853465</v>
      </c>
      <c r="P279" s="45">
        <f t="shared" ca="1" si="149"/>
        <v>72.843632787840534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2059300</v>
      </c>
      <c r="N280" s="38">
        <f t="shared" ca="1" si="152"/>
        <v>1500068.93</v>
      </c>
      <c r="O280" s="38">
        <f t="shared" ca="1" si="148"/>
        <v>54.675005922853465</v>
      </c>
      <c r="P280" s="38">
        <f t="shared" ca="1" si="149"/>
        <v>72.843632787840534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"),2059300)</f>
        <v>2059300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"),1500068.93)</f>
        <v>1500068.93</v>
      </c>
      <c r="O282" s="45">
        <f t="shared" ca="1" si="148"/>
        <v>54.675005922853465</v>
      </c>
      <c r="P282" s="45">
        <f t="shared" ca="1" si="149"/>
        <v>72.843632787840534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"),3650)</f>
        <v>3650</v>
      </c>
      <c r="K287" s="163">
        <f t="shared" ref="K287:K288" ca="1" si="154">IF(I287&gt;0,J287*100/I287,0)</f>
        <v>83.908045977011497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"),180)</f>
        <v>180</v>
      </c>
      <c r="K288" s="411">
        <f t="shared" ca="1" si="154"/>
        <v>41.379310344827587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"),435)</f>
        <v>435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"),435)</f>
        <v>435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"),180)</f>
        <v>180</v>
      </c>
      <c r="K293" s="163">
        <f t="shared" ref="K293:K294" ca="1" si="156">IF(I293&gt;0,J293*100/I293,0)</f>
        <v>41.379310344827587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"),180)</f>
        <v>180</v>
      </c>
      <c r="K294" s="385">
        <f t="shared" ca="1" si="156"/>
        <v>41.379310344827587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245</v>
      </c>
      <c r="J297" s="444">
        <f t="shared" ca="1" si="157"/>
        <v>245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1202900</v>
      </c>
      <c r="N298" s="155">
        <f t="shared" ca="1" si="158"/>
        <v>1008123.5</v>
      </c>
      <c r="O298" s="155">
        <f t="shared" ref="O298:O306" ca="1" si="159">IF(L298&gt;0,N298*100/L298,0)</f>
        <v>63.829523869823987</v>
      </c>
      <c r="P298" s="155">
        <f t="shared" ref="P298:P306" ca="1" si="160">IF(M298&gt;0,N298*100/M298,0)</f>
        <v>83.807756255715361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1202900</v>
      </c>
      <c r="N300" s="45">
        <f t="shared" ca="1" si="162"/>
        <v>1008123.5</v>
      </c>
      <c r="O300" s="45">
        <f t="shared" ca="1" si="159"/>
        <v>63.829523869823987</v>
      </c>
      <c r="P300" s="45">
        <f t="shared" ca="1" si="160"/>
        <v>83.807756255715361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1202900</v>
      </c>
      <c r="N301" s="38">
        <f t="shared" ca="1" si="163"/>
        <v>1008123.5</v>
      </c>
      <c r="O301" s="38">
        <f t="shared" ca="1" si="159"/>
        <v>63.829523869823987</v>
      </c>
      <c r="P301" s="38">
        <f t="shared" ca="1" si="160"/>
        <v>83.807756255715361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"),1202900)</f>
        <v>1202900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"),1008123.5)</f>
        <v>1008123.5</v>
      </c>
      <c r="O303" s="45">
        <f t="shared" ca="1" si="159"/>
        <v>63.829523869823987</v>
      </c>
      <c r="P303" s="45">
        <f t="shared" ca="1" si="160"/>
        <v>83.807756255715361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"),11)</f>
        <v>11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"),245)</f>
        <v>245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"),205)</f>
        <v>205</v>
      </c>
      <c r="K310" s="38">
        <f t="shared" ca="1" si="165"/>
        <v>83.673469387755105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"),20)</f>
        <v>20</v>
      </c>
      <c r="K311" s="38">
        <f t="shared" ca="1" si="165"/>
        <v>8.1632653061224492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"),29)</f>
        <v>29</v>
      </c>
      <c r="K312" s="38">
        <f t="shared" ca="1" si="165"/>
        <v>59.183673469387756</v>
      </c>
      <c r="L312" s="38"/>
      <c r="M312" s="38"/>
      <c r="N312" s="38"/>
      <c r="O312" s="38"/>
      <c r="P312" s="3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645000</v>
      </c>
      <c r="N315" s="155">
        <f t="shared" ca="1" si="167"/>
        <v>410991.9</v>
      </c>
      <c r="O315" s="155">
        <f t="shared" ref="O315:O323" ca="1" si="168">IF(L315&gt;0,N315*100/L315,0)</f>
        <v>46.810011389521641</v>
      </c>
      <c r="P315" s="155">
        <f t="shared" ref="P315:P323" ca="1" si="169">IF(M315&gt;0,N315*100/M315,0)</f>
        <v>63.719674418604654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645000</v>
      </c>
      <c r="N317" s="45">
        <f t="shared" ca="1" si="171"/>
        <v>410991.9</v>
      </c>
      <c r="O317" s="45">
        <f t="shared" ca="1" si="168"/>
        <v>46.810011389521641</v>
      </c>
      <c r="P317" s="45">
        <f t="shared" ca="1" si="169"/>
        <v>63.719674418604654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645000</v>
      </c>
      <c r="N318" s="38">
        <f t="shared" ca="1" si="172"/>
        <v>410991.9</v>
      </c>
      <c r="O318" s="38">
        <f t="shared" ca="1" si="168"/>
        <v>46.810011389521641</v>
      </c>
      <c r="P318" s="38">
        <f t="shared" ca="1" si="169"/>
        <v>63.719674418604654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"),645000)</f>
        <v>645000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"),410991.9)</f>
        <v>410991.9</v>
      </c>
      <c r="O320" s="45">
        <f t="shared" ca="1" si="168"/>
        <v>46.810011389521641</v>
      </c>
      <c r="P320" s="45">
        <f t="shared" ca="1" si="169"/>
        <v>63.719674418604654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 ca="1">J338+J341+J342+J343</f>
        <v>94897</v>
      </c>
      <c r="K327" s="445">
        <f ca="1">IF(I327&gt;0,J327*100/I327,0)</f>
        <v>110.57678862735959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3764100</v>
      </c>
      <c r="N328" s="155">
        <f t="shared" ca="1" si="174"/>
        <v>2809055.94</v>
      </c>
      <c r="O328" s="155">
        <f t="shared" ref="O328:O336" ca="1" si="175">IF(L328&gt;0,N328*100/L328,0)</f>
        <v>59.909911704487286</v>
      </c>
      <c r="P328" s="155">
        <f t="shared" ref="P328:P336" ca="1" si="176">IF(M328&gt;0,N328*100/M328,0)</f>
        <v>74.627558778990988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3764100</v>
      </c>
      <c r="N330" s="45">
        <f t="shared" ca="1" si="178"/>
        <v>2809055.94</v>
      </c>
      <c r="O330" s="45">
        <f t="shared" ca="1" si="175"/>
        <v>59.909911704487286</v>
      </c>
      <c r="P330" s="45">
        <f t="shared" ca="1" si="176"/>
        <v>74.627558778990988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3024100</v>
      </c>
      <c r="N331" s="38">
        <f t="shared" ca="1" si="179"/>
        <v>2069055.94</v>
      </c>
      <c r="O331" s="38">
        <f t="shared" ca="1" si="175"/>
        <v>53.898508388037925</v>
      </c>
      <c r="P331" s="38">
        <f t="shared" ca="1" si="176"/>
        <v>68.418899507291428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"),3024100)</f>
        <v>3024100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"),2069055.94)</f>
        <v>2069055.94</v>
      </c>
      <c r="O333" s="45">
        <f t="shared" ca="1" si="175"/>
        <v>53.898508388037925</v>
      </c>
      <c r="P333" s="45">
        <f t="shared" ca="1" si="176"/>
        <v>68.418899507291428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740000</v>
      </c>
      <c r="N334" s="38">
        <f t="shared" ca="1" si="180"/>
        <v>740000</v>
      </c>
      <c r="O334" s="38">
        <f t="shared" ca="1" si="175"/>
        <v>87.058823529411768</v>
      </c>
      <c r="P334" s="38">
        <f t="shared" ca="1" si="176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"),740000)</f>
        <v>740000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5"/>
        <v>87.058823529411768</v>
      </c>
      <c r="P336" s="45">
        <f t="shared" ca="1" si="176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70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"),86630)</f>
        <v>86630</v>
      </c>
      <c r="K338" s="38">
        <f ca="1">IF(I338&gt;0,J338*100/I338,0)</f>
        <v>100.94383593567933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"),105)</f>
        <v>105</v>
      </c>
      <c r="K340" s="38">
        <f ca="1">IF(I340&gt;0,J340*100/I340,0)</f>
        <v>66.455696202531641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"),7743)</f>
        <v>7743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"),12)</f>
        <v>12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"),512)</f>
        <v>512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23748352</v>
      </c>
      <c r="N345" s="155">
        <f t="shared" ca="1" si="181"/>
        <v>16963497.300000001</v>
      </c>
      <c r="O345" s="155">
        <f t="shared" ref="O345:O353" ca="1" si="182">IF(L345&gt;0,N345*100/L345,0)</f>
        <v>57.963156222237409</v>
      </c>
      <c r="P345" s="155">
        <f t="shared" ref="P345:P353" ca="1" si="183">IF(M345&gt;0,N345*100/M345,0)</f>
        <v>71.430208294032354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23748352</v>
      </c>
      <c r="N347" s="45">
        <f t="shared" ca="1" si="185"/>
        <v>16963497.300000001</v>
      </c>
      <c r="O347" s="45">
        <f t="shared" ca="1" si="182"/>
        <v>57.963156222237409</v>
      </c>
      <c r="P347" s="45">
        <f t="shared" ca="1" si="183"/>
        <v>71.430208294032354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21404632</v>
      </c>
      <c r="N348" s="38">
        <f t="shared" ca="1" si="186"/>
        <v>14619777.300000001</v>
      </c>
      <c r="O348" s="38">
        <f t="shared" ca="1" si="182"/>
        <v>54.319132738365049</v>
      </c>
      <c r="P348" s="38">
        <f t="shared" ca="1" si="183"/>
        <v>68.301932497601456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"),21404632)</f>
        <v>21404632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"),14619777.3)</f>
        <v>14619777.300000001</v>
      </c>
      <c r="O350" s="45">
        <f t="shared" ca="1" si="182"/>
        <v>54.319132738365049</v>
      </c>
      <c r="P350" s="45">
        <f t="shared" ca="1" si="183"/>
        <v>68.301932497601456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2343720</v>
      </c>
      <c r="N351" s="38">
        <f t="shared" ca="1" si="187"/>
        <v>2343720</v>
      </c>
      <c r="O351" s="38">
        <f t="shared" ca="1" si="182"/>
        <v>99.673386067874461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"),2343720)</f>
        <v>2343720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2"/>
        <v>99.673386067874461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"),14473)</f>
        <v>14473</v>
      </c>
      <c r="J355" s="464">
        <f ca="1">J362</f>
        <v>3766</v>
      </c>
      <c r="K355" s="465">
        <f ca="1">IF(I355&gt;0,J355*100/I355,0)</f>
        <v>26.020866440959026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"),8677)</f>
        <v>8677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"),151020)</f>
        <v>151020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"),72794.06)</f>
        <v>72794.06</v>
      </c>
      <c r="K359" s="38">
        <f t="shared" ca="1" si="188"/>
        <v>48.201602436763345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"),14473)</f>
        <v>14473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"),7290)</f>
        <v>7290</v>
      </c>
      <c r="K360" s="38">
        <f t="shared" ca="1" si="188"/>
        <v>50.369653838181442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"),62101.75)</f>
        <v>62101.75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"),14473)</f>
        <v>14473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"),3766)</f>
        <v>3766</v>
      </c>
      <c r="K362" s="38">
        <f t="shared" ca="1" si="188"/>
        <v>26.020866440959026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"),30796.8299999999)</f>
        <v>30796.8299999999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89">I365+I374</f>
        <v>25758</v>
      </c>
      <c r="J364" s="478">
        <f t="shared" ca="1" si="189"/>
        <v>11248</v>
      </c>
      <c r="K364" s="479">
        <f t="shared" ca="1" si="188"/>
        <v>43.667986644925847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"),4842)</f>
        <v>4842</v>
      </c>
      <c r="J365" s="490">
        <f ca="1">J372</f>
        <v>1468</v>
      </c>
      <c r="K365" s="491">
        <f t="shared" ca="1" si="188"/>
        <v>30.318050392399833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"),2960)</f>
        <v>2960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"),50320)</f>
        <v>50320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"),23927.89)</f>
        <v>23927.89</v>
      </c>
      <c r="K369" s="38">
        <f t="shared" ca="1" si="190"/>
        <v>47.551450715421304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"),4842)</f>
        <v>4842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"),2056)</f>
        <v>2056</v>
      </c>
      <c r="K370" s="38">
        <f t="shared" ca="1" si="190"/>
        <v>42.46179264766625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"),16948.04)</f>
        <v>16948.04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"),4842)</f>
        <v>4842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"),1468)</f>
        <v>1468</v>
      </c>
      <c r="K372" s="38">
        <f t="shared" ca="1" si="190"/>
        <v>30.318050392399833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"),11271.74)</f>
        <v>11271.74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"),20916)</f>
        <v>20916</v>
      </c>
      <c r="J374" s="490">
        <f ca="1">J381</f>
        <v>9780</v>
      </c>
      <c r="K374" s="491">
        <f t="shared" ca="1" si="190"/>
        <v>46.758462421113023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"),5717)</f>
        <v>5717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"),100700)</f>
        <v>100700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"),48866.17)</f>
        <v>48866.17</v>
      </c>
      <c r="K378" s="497">
        <f t="shared" ca="1" si="191"/>
        <v>48.526484607745779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"),20916)</f>
        <v>20916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"),13301)</f>
        <v>13301</v>
      </c>
      <c r="K379" s="497">
        <f t="shared" ca="1" si="191"/>
        <v>63.592465098489193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"),145675.749999999)</f>
        <v>145675.74999999901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"),20916)</f>
        <v>20916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"),9780)</f>
        <v>9780</v>
      </c>
      <c r="K381" s="497">
        <f t="shared" ca="1" si="191"/>
        <v>46.758462421113023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"),112183.73)</f>
        <v>112183.73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500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4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"),295)</f>
        <v>295</v>
      </c>
      <c r="K385" s="505">
        <f ca="1">IF(I385&gt;0,J385*100/I385,0)</f>
        <v>18.368617683686178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ca="1" si="192">I400</f>
        <v>0</v>
      </c>
      <c r="J388" s="525">
        <f t="shared" ca="1" si="192"/>
        <v>0</v>
      </c>
      <c r="K388" s="526">
        <f ca="1"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ca="1" si="201">I412</f>
        <v>0</v>
      </c>
      <c r="J401" s="525">
        <f t="shared" ca="1" si="201"/>
        <v>0</v>
      </c>
      <c r="K401" s="526">
        <f t="shared" ca="1" si="200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33" t="s">
        <v>38</v>
      </c>
      <c r="E411" s="534"/>
      <c r="F411" s="534"/>
      <c r="G411" s="535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36" t="s">
        <v>66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43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4">
        <f t="shared" ca="1" si="209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210">L419+L444+L467+L502+L523+L544+L629+L655+L685+L737+L754+L770+L786+L805</f>
        <v>53712081</v>
      </c>
      <c r="M414" s="552">
        <f t="shared" ca="1" si="210"/>
        <v>53689914</v>
      </c>
      <c r="N414" s="552">
        <f t="shared" ca="1" si="210"/>
        <v>23733370.419999994</v>
      </c>
      <c r="O414" s="552">
        <f ca="1">IF(L414&gt;0,N414*100/L414,0)</f>
        <v>44.18627984270428</v>
      </c>
      <c r="P414" s="552">
        <f ca="1">IF(M414&gt;0,N414*100/M414,0)</f>
        <v>44.204523069267715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3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7" ca="1" si="211">I433</f>
        <v>535</v>
      </c>
      <c r="J417" s="568">
        <f t="shared" ca="1" si="211"/>
        <v>460</v>
      </c>
      <c r="K417" s="569">
        <f t="shared" ref="K417:K418" ca="1" si="212">IF(I417&gt;0,J417*100/I417,0)</f>
        <v>85.981308411214954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ref="I418:J418" ca="1" si="213">I434</f>
        <v>22</v>
      </c>
      <c r="J418" s="568">
        <f t="shared" ca="1" si="213"/>
        <v>20</v>
      </c>
      <c r="K418" s="569">
        <f t="shared" ca="1" si="212"/>
        <v>90.909090909090907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58" t="s">
        <v>17</v>
      </c>
      <c r="E419" s="859"/>
      <c r="F419" s="859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2044980</v>
      </c>
      <c r="M419" s="155">
        <f t="shared" ca="1" si="214"/>
        <v>2038975</v>
      </c>
      <c r="N419" s="155">
        <f t="shared" ca="1" si="214"/>
        <v>1380674.3</v>
      </c>
      <c r="O419" s="155">
        <f t="shared" ref="O419:O424" ca="1" si="215">IF(L419&gt;0,N419*100/L419,0)</f>
        <v>67.515295993114847</v>
      </c>
      <c r="P419" s="155">
        <f t="shared" ref="P419:P424" ca="1" si="216">IF(M419&gt;0,N419*100/M419,0)</f>
        <v>67.714135779006611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2044980</v>
      </c>
      <c r="M421" s="45">
        <f t="shared" ca="1" si="218"/>
        <v>2038975</v>
      </c>
      <c r="N421" s="45">
        <f t="shared" ca="1" si="218"/>
        <v>1380674.3</v>
      </c>
      <c r="O421" s="45">
        <f t="shared" ca="1" si="215"/>
        <v>67.515295993114847</v>
      </c>
      <c r="P421" s="45">
        <f t="shared" ca="1" si="216"/>
        <v>67.714135779006611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2044980</v>
      </c>
      <c r="M422" s="38">
        <f t="shared" ca="1" si="219"/>
        <v>2038975</v>
      </c>
      <c r="N422" s="38">
        <f t="shared" ca="1" si="219"/>
        <v>1380674.3</v>
      </c>
      <c r="O422" s="38">
        <f t="shared" ca="1" si="215"/>
        <v>67.515295993114847</v>
      </c>
      <c r="P422" s="38">
        <f t="shared" ca="1" si="216"/>
        <v>67.714135779006611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93">
        <f ca="1">IFERROR(__xludf.DUMMYFUNCTION("IMPORTRANGE(""https://docs.google.com/spreadsheets/d/1fb2B9NLcpJgjIieIJvenUTNPn0TimZDUi0OtYeiSQ_s/edit?usp=share_link"",""กาฬสินธุ์!M424"")+IMPORTRANGE(""https://docs.google.com/spreadsheets/d/1SaMnqrwRGmFYNR0MhpWmHuL5niYUd5E7vDq8X7whAlI/edit?usp=share_li"&amp;"nk"",""ขอนแก่น!M424"")
+IMPORTRANGE(""https://docs.google.com/spreadsheets/d/1xQzEtGHhTTgxHh6YUkKY1P4dRyjVhS74dGswLfAASA4/edit?usp=share_link"",""ชัยภูมิ!M424"")+IMPORTRANGE(""https://docs.google.com/spreadsheets/d/1EXMBoBxU3OFbjT2TRpneM33qFjqDzrKmn9ydcfl"&amp;"fI0o/edit?usp=share_link"",""นครพนม!M424"")+IMPORTRANGE(""https://docs.google.com/spreadsheets/d/1bDQrolntRWtHumK8W-x-HXKntwxB9S3sF5aDeRS66Ko/edit?usp=share_link"",""นครราชสีมา!M424"")+IMPORTRANGE(""https://docs.google.com/spreadsheets/d/1_MzZ-2gVPiCW-d2V"&amp;"cafoCmFJQTSrZ6SQyFcMqRRQQ2w/edit?usp=share_link"",""บึงกาฬ!M424"")
+IMPORTRANGE(""https://docs.google.com/spreadsheets/d/1B3lPpzOuaNwVItLwLEZYl_qEblfcx7dRnbRkAw0l-pE/edit?usp=share_link"",""บุรีรัมย์!M424"")+IMPORTRANGE(""https://docs.google.com/spreadshe"&amp;"ets/d/19GOkiOqnzYbevLYWrMk4qFOXe3rX14BkSA8X-mq-a40/edit?usp=share_link"",""มหาสารคาม!M424"")+IMPORTRANGE(""https://docs.google.com/spreadsheets/d/1uMKqWwuNQ-TCKboGA3Bb1qXb5uj2-faACNUINCz8PN4/edit?usp=share_link"",""มุกดาหาร!M424"")+IMPORTRANGE(""https://d"&amp;"ocs.google.com/spreadsheets/d/1oKaccgDdQABndOzGr688Dbfxb_V3YcF67VqEPBtdzsc/edit?usp=share_link"",""ยโสธร!M424"")+IMPORTRANGE(""https://docs.google.com/spreadsheets/d/1BRgc8xKpxZ0PX-gauieMVkV_IOxKSotf0yW8MabGprQ/edit?usp=share_link"",""ร้อยเอ็ด!M424"")+IMP"&amp;"ORTRANGE(""https://docs.google.com/spreadsheets/d/1IdolZc-dfdgMwAm_KZxYJl1sUOcIgnbGQzbWOlddedo/edit?usp=share_link"",""เลย!M424"")+IMPORTRANGE(""https://docs.google.com/spreadsheets/d/1tZ0nmtGuIRCaGAMXHlQU8EpR9LOAJvyKfc4f7EFmE34/edit?usp=share_link"",""ศร"&amp;"ีสะเกษ!M424"")+IMPORTRANGE(""https://docs.google.com/spreadsheets/d/1QC8psz9w0f9IVE9Xuc2FT_btkaOzZbbUSgYObpBuetM/edit?usp=share_link"",""สกลนคร!M424"")+IMPORTRANGE(""https://docs.google.com/spreadsheets/d/1wPdvRbu02d33MYVlbsCnyTiZpefEBs9NNktAnT1HZvw/edit?"&amp;"usp=share_link"",""สุรินทร์!M424"")+IMPORTRANGE(""https://docs.google.com/spreadsheets/d/1GVExpf-Exi_2gmuqTYH28fseTB9MoKPXWcXCbSt_YrM/edit?usp=share_link"",""หนองคาย!M424"")+IMPORTRANGE(""https://docs.google.com/spreadsheets/d/16UeMz0UgOB5BZcoxP75eYGcLFtG"&amp;"YRn9GoesD4OX9m5U/edit?usp=share_link"",""หนองบัวลำภู!M424"")+IMPORTRANGE(""https://docs.google.com/spreadsheets/d/1uUP8Zo1-qaJLuIkRU0qlwLSE3DHkbdrrj2JGJiWBQZE/edit?usp=share_link"",""อำนาจเจริญ!M424"")+IMPORTRANGE(""https://docs.google.com/spreadsheets/d/"&amp;"1hb_taSOHanzRjqfzWPiFo8yiT83VV1L7vvUCLhOiHKc/edit?usp=share_link"",""อุดรธานี!M424"")+IMPORTRANGE(""https://docs.google.com/spreadsheets/d/17IOkEwkUd63EGNfyNDnM5de9YlZ7rwzTiW6-dokVjKI/edit?usp=share_link"",""อุบลราชธานี!M424"")
"),2038975)</f>
        <v>2038975</v>
      </c>
      <c r="N424" s="45">
        <f ca="1">N425+N426+N427+N428</f>
        <v>1380674.3</v>
      </c>
      <c r="O424" s="45">
        <f t="shared" ca="1" si="215"/>
        <v>67.515295993114847</v>
      </c>
      <c r="P424" s="45">
        <f t="shared" ca="1" si="216"/>
        <v>67.714135779006611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574"/>
      <c r="D425" s="574"/>
      <c r="E425" s="574"/>
      <c r="F425" s="575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"),968923)</f>
        <v>968923</v>
      </c>
      <c r="O425" s="38"/>
      <c r="P425" s="38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574"/>
      <c r="D426" s="574"/>
      <c r="E426" s="574"/>
      <c r="F426" s="575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"),9672)</f>
        <v>9672</v>
      </c>
      <c r="O426" s="38"/>
      <c r="P426" s="38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574"/>
      <c r="D427" s="574"/>
      <c r="E427" s="574"/>
      <c r="F427" s="575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"),402079.3)</f>
        <v>402079.3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577" t="s">
        <v>38</v>
      </c>
      <c r="E432" s="578"/>
      <c r="F432" s="578"/>
      <c r="G432" s="579"/>
      <c r="H432" s="580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"),460)</f>
        <v>460</v>
      </c>
      <c r="K433" s="195">
        <f t="shared" ref="K433:K435" ca="1" si="223">IF(I433&gt;0,J433*100/I433,0)</f>
        <v>85.981308411214954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22</v>
      </c>
      <c r="J434" s="194">
        <f t="shared" ca="1" si="224"/>
        <v>20</v>
      </c>
      <c r="K434" s="195">
        <f t="shared" ca="1" si="223"/>
        <v>90.909090909090907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1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82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"),535)</f>
        <v>535</v>
      </c>
      <c r="K435" s="497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1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82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"),95)</f>
        <v>95</v>
      </c>
      <c r="K437" s="497">
        <f t="shared" ref="K437:K443" ca="1" si="225">IF(I437&gt;0,J437*100/I437,0)</f>
        <v>118.75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"),2)</f>
        <v>2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1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82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"),380)</f>
        <v>380</v>
      </c>
      <c r="K439" s="497">
        <f t="shared" ca="1" si="225"/>
        <v>83.516483516483518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"),18)</f>
        <v>18</v>
      </c>
      <c r="K440" s="38">
        <f t="shared" ca="1" si="225"/>
        <v>90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226">I460</f>
        <v>1355</v>
      </c>
      <c r="J442" s="588">
        <f t="shared" ca="1" si="226"/>
        <v>1320</v>
      </c>
      <c r="K442" s="589">
        <f t="shared" ca="1" si="225"/>
        <v>97.416974169741692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227">I462</f>
        <v>4780</v>
      </c>
      <c r="J443" s="568">
        <f t="shared" ca="1" si="227"/>
        <v>4665</v>
      </c>
      <c r="K443" s="569">
        <f t="shared" ca="1" si="225"/>
        <v>97.594142259414227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574"/>
      <c r="C444" s="574" t="s">
        <v>16</v>
      </c>
      <c r="D444" s="860" t="s">
        <v>17</v>
      </c>
      <c r="E444" s="854"/>
      <c r="F444" s="854"/>
      <c r="G444" s="189"/>
      <c r="H444" s="596" t="s">
        <v>12</v>
      </c>
      <c r="I444" s="37"/>
      <c r="J444" s="37"/>
      <c r="K444" s="38"/>
      <c r="L444" s="195">
        <f t="shared" ref="L444:N444" ca="1" si="228">L445+L446</f>
        <v>9846828</v>
      </c>
      <c r="M444" s="195">
        <f t="shared" ca="1" si="228"/>
        <v>9830666</v>
      </c>
      <c r="N444" s="195">
        <f t="shared" ca="1" si="228"/>
        <v>5782848.4000000004</v>
      </c>
      <c r="O444" s="195">
        <f t="shared" ref="O444:O449" ca="1" si="229">IF(L444&gt;0,N444*100/L444,0)</f>
        <v>58.72803302748865</v>
      </c>
      <c r="P444" s="195">
        <f t="shared" ref="P444:P449" ca="1" si="230">IF(M444&gt;0,N444*100/M444,0)</f>
        <v>58.824584214335019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598"/>
      <c r="C445" s="598"/>
      <c r="D445" s="599"/>
      <c r="E445" s="600" t="s">
        <v>185</v>
      </c>
      <c r="F445" s="598"/>
      <c r="G445" s="601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3"/>
      <c r="C446" s="598"/>
      <c r="D446" s="599"/>
      <c r="E446" s="600" t="s">
        <v>186</v>
      </c>
      <c r="F446" s="598"/>
      <c r="G446" s="601"/>
      <c r="H446" s="165" t="s">
        <v>12</v>
      </c>
      <c r="I446" s="44"/>
      <c r="J446" s="44"/>
      <c r="K446" s="45"/>
      <c r="L446" s="45">
        <f t="shared" ref="L446:N446" ca="1" si="232">L449+L456</f>
        <v>9846828</v>
      </c>
      <c r="M446" s="45">
        <f t="shared" ca="1" si="232"/>
        <v>9830666</v>
      </c>
      <c r="N446" s="45">
        <f t="shared" ca="1" si="232"/>
        <v>5782848.4000000004</v>
      </c>
      <c r="O446" s="45">
        <f t="shared" ca="1" si="229"/>
        <v>58.72803302748865</v>
      </c>
      <c r="P446" s="45">
        <f t="shared" ca="1" si="230"/>
        <v>58.824584214335019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574"/>
      <c r="D447" s="604" t="s">
        <v>20</v>
      </c>
      <c r="E447" s="574"/>
      <c r="F447" s="574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9846828</v>
      </c>
      <c r="M447" s="38">
        <f t="shared" ca="1" si="233"/>
        <v>9830666</v>
      </c>
      <c r="N447" s="38">
        <f t="shared" ca="1" si="233"/>
        <v>5782848.4000000004</v>
      </c>
      <c r="O447" s="38">
        <f t="shared" ca="1" si="229"/>
        <v>58.72803302748865</v>
      </c>
      <c r="P447" s="38">
        <f t="shared" ca="1" si="230"/>
        <v>58.824584214335019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3"/>
      <c r="C448" s="598"/>
      <c r="D448" s="599"/>
      <c r="E448" s="600" t="s">
        <v>185</v>
      </c>
      <c r="F448" s="598"/>
      <c r="G448" s="601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3"/>
      <c r="C449" s="598"/>
      <c r="D449" s="599"/>
      <c r="E449" s="600" t="s">
        <v>186</v>
      </c>
      <c r="F449" s="598"/>
      <c r="G449" s="601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93">
        <f ca="1">IFERROR(__xludf.DUMMYFUNCTION("IMPORTRANGE(""https://docs.google.com/spreadsheets/d/1fb2B9NLcpJgjIieIJvenUTNPn0TimZDUi0OtYeiSQ_s/edit?usp=share_link"",""กาฬสินธุ์!M449"")+IMPORTRANGE(""https://docs.google.com/spreadsheets/d/1SaMnqrwRGmFYNR0MhpWmHuL5niYUd5E7vDq8X7whAlI/edit?usp=share_li"&amp;"nk"",""ขอนแก่น!M449"")
+IMPORTRANGE(""https://docs.google.com/spreadsheets/d/1xQzEtGHhTTgxHh6YUkKY1P4dRyjVhS74dGswLfAASA4/edit?usp=share_link"",""ชัยภูมิ!M449"")+IMPORTRANGE(""https://docs.google.com/spreadsheets/d/1EXMBoBxU3OFbjT2TRpneM33qFjqDzrKmn9ydcfl"&amp;"fI0o/edit?usp=share_link"",""นครพนม!M449"")+IMPORTRANGE(""https://docs.google.com/spreadsheets/d/1bDQrolntRWtHumK8W-x-HXKntwxB9S3sF5aDeRS66Ko/edit?usp=share_link"",""นครราชสีมา!M449"")+IMPORTRANGE(""https://docs.google.com/spreadsheets/d/1_MzZ-2gVPiCW-d2V"&amp;"cafoCmFJQTSrZ6SQyFcMqRRQQ2w/edit?usp=share_link"",""บึงกาฬ!M449"")
+IMPORTRANGE(""https://docs.google.com/spreadsheets/d/1B3lPpzOuaNwVItLwLEZYl_qEblfcx7dRnbRkAw0l-pE/edit?usp=share_link"",""บุรีรัมย์!M449"")+IMPORTRANGE(""https://docs.google.com/spreadshe"&amp;"ets/d/19GOkiOqnzYbevLYWrMk4qFOXe3rX14BkSA8X-mq-a40/edit?usp=share_link"",""มหาสารคาม!M449"")+IMPORTRANGE(""https://docs.google.com/spreadsheets/d/1uMKqWwuNQ-TCKboGA3Bb1qXb5uj2-faACNUINCz8PN4/edit?usp=share_link"",""มุกดาหาร!M449"")+IMPORTRANGE(""https://d"&amp;"ocs.google.com/spreadsheets/d/1oKaccgDdQABndOzGr688Dbfxb_V3YcF67VqEPBtdzsc/edit?usp=share_link"",""ยโสธร!M449"")+IMPORTRANGE(""https://docs.google.com/spreadsheets/d/1BRgc8xKpxZ0PX-gauieMVkV_IOxKSotf0yW8MabGprQ/edit?usp=share_link"",""ร้อยเอ็ด!M449"")+IMP"&amp;"ORTRANGE(""https://docs.google.com/spreadsheets/d/1IdolZc-dfdgMwAm_KZxYJl1sUOcIgnbGQzbWOlddedo/edit?usp=share_link"",""เลย!M449"")+IMPORTRANGE(""https://docs.google.com/spreadsheets/d/1tZ0nmtGuIRCaGAMXHlQU8EpR9LOAJvyKfc4f7EFmE34/edit?usp=share_link"",""ศร"&amp;"ีสะเกษ!M449"")+IMPORTRANGE(""https://docs.google.com/spreadsheets/d/1QC8psz9w0f9IVE9Xuc2FT_btkaOzZbbUSgYObpBuetM/edit?usp=share_link"",""สกลนคร!M449"")+IMPORTRANGE(""https://docs.google.com/spreadsheets/d/1wPdvRbu02d33MYVlbsCnyTiZpefEBs9NNktAnT1HZvw/edit?"&amp;"usp=share_link"",""สุรินทร์!M449"")+IMPORTRANGE(""https://docs.google.com/spreadsheets/d/1GVExpf-Exi_2gmuqTYH28fseTB9MoKPXWcXCbSt_YrM/edit?usp=share_link"",""หนองคาย!M449"")+IMPORTRANGE(""https://docs.google.com/spreadsheets/d/16UeMz0UgOB5BZcoxP75eYGcLFtG"&amp;"YRn9GoesD4OX9m5U/edit?usp=share_link"",""หนองบัวลำภู!M449"")+IMPORTRANGE(""https://docs.google.com/spreadsheets/d/1uUP8Zo1-qaJLuIkRU0qlwLSE3DHkbdrrj2JGJiWBQZE/edit?usp=share_link"",""อำนาจเจริญ!M449"")+IMPORTRANGE(""https://docs.google.com/spreadsheets/d/"&amp;"1hb_taSOHanzRjqfzWPiFo8yiT83VV1L7vvUCLhOiHKc/edit?usp=share_link"",""อุดรธานี!M449"")+IMPORTRANGE(""https://docs.google.com/spreadsheets/d/17IOkEwkUd63EGNfyNDnM5de9YlZ7rwzTiW6-dokVjKI/edit?usp=share_link"",""อุบลราชธานี!M449"")
"),9830666)</f>
        <v>9830666</v>
      </c>
      <c r="N449" s="45">
        <f ca="1">N450+N451+N452+N453</f>
        <v>5782848.4000000004</v>
      </c>
      <c r="O449" s="45">
        <f t="shared" ca="1" si="229"/>
        <v>58.72803302748865</v>
      </c>
      <c r="P449" s="45">
        <f t="shared" ca="1" si="230"/>
        <v>58.824584214335019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574"/>
      <c r="D450" s="574"/>
      <c r="E450" s="574"/>
      <c r="F450" s="575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"),1580133)</f>
        <v>1580133</v>
      </c>
      <c r="O450" s="38"/>
      <c r="P450" s="38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574"/>
      <c r="D451" s="574"/>
      <c r="E451" s="574"/>
      <c r="F451" s="575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"),2468288)</f>
        <v>2468288</v>
      </c>
      <c r="O451" s="38"/>
      <c r="P451" s="38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575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"),1131048.4)</f>
        <v>1131048.3999999999</v>
      </c>
      <c r="O452" s="38"/>
      <c r="P452" s="38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575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"),603379)</f>
        <v>603379</v>
      </c>
      <c r="O453" s="38"/>
      <c r="P453" s="38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574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3"/>
      <c r="C455" s="603"/>
      <c r="D455" s="603"/>
      <c r="E455" s="605" t="s">
        <v>18</v>
      </c>
      <c r="F455" s="598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3"/>
      <c r="C456" s="603"/>
      <c r="D456" s="603"/>
      <c r="E456" s="605" t="s">
        <v>19</v>
      </c>
      <c r="F456" s="598"/>
      <c r="G456" s="601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07"/>
      <c r="C457" s="573" t="s">
        <v>16</v>
      </c>
      <c r="D457" s="608" t="s">
        <v>38</v>
      </c>
      <c r="E457" s="609"/>
      <c r="F457" s="610"/>
      <c r="G457" s="611"/>
      <c r="H457" s="175"/>
      <c r="I457" s="37"/>
      <c r="J457" s="37"/>
      <c r="K457" s="38"/>
      <c r="L457" s="38"/>
      <c r="M457" s="38"/>
      <c r="N457" s="38"/>
      <c r="O457" s="38"/>
      <c r="P457" s="38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3"/>
      <c r="C458" s="613"/>
      <c r="D458" s="614" t="s">
        <v>201</v>
      </c>
      <c r="E458" s="613"/>
      <c r="F458" s="599"/>
      <c r="G458" s="366"/>
      <c r="H458" s="370" t="s">
        <v>35</v>
      </c>
      <c r="I458" s="615">
        <v>0</v>
      </c>
      <c r="J458" s="61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3"/>
      <c r="C459" s="613"/>
      <c r="D459" s="614" t="s">
        <v>202</v>
      </c>
      <c r="E459" s="613"/>
      <c r="F459" s="599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07"/>
      <c r="C460" s="607"/>
      <c r="D460" s="616" t="s">
        <v>203</v>
      </c>
      <c r="E460" s="607"/>
      <c r="F460" s="617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"),1320)</f>
        <v>1320</v>
      </c>
      <c r="K460" s="38">
        <f ca="1">IF(I460&gt;0,J460*100/I460,0)</f>
        <v>97.416974169741692</v>
      </c>
      <c r="L460" s="38"/>
      <c r="M460" s="38"/>
      <c r="N460" s="38"/>
      <c r="O460" s="38"/>
      <c r="P460" s="38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07"/>
      <c r="C461" s="607"/>
      <c r="D461" s="616" t="s">
        <v>204</v>
      </c>
      <c r="E461" s="617"/>
      <c r="F461" s="61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07"/>
      <c r="C462" s="607"/>
      <c r="D462" s="616" t="s">
        <v>205</v>
      </c>
      <c r="E462" s="617"/>
      <c r="F462" s="617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"),4665)</f>
        <v>4665</v>
      </c>
      <c r="K462" s="38">
        <f t="shared" ref="K462:K466" ca="1" si="237">IF(I462&gt;0,J462*100/I462,0)</f>
        <v>97.594142259414227</v>
      </c>
      <c r="L462" s="38"/>
      <c r="M462" s="38"/>
      <c r="N462" s="38"/>
      <c r="O462" s="38"/>
      <c r="P462" s="38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07"/>
      <c r="C463" s="607"/>
      <c r="D463" s="616" t="s">
        <v>59</v>
      </c>
      <c r="E463" s="617"/>
      <c r="F463" s="574"/>
      <c r="G463" s="189"/>
      <c r="H463" s="182" t="s">
        <v>46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"),2750)</f>
        <v>2750</v>
      </c>
      <c r="K463" s="38">
        <f t="shared" ca="1" si="237"/>
        <v>57.531380753138073</v>
      </c>
      <c r="L463" s="38"/>
      <c r="M463" s="38"/>
      <c r="N463" s="38"/>
      <c r="O463" s="38"/>
      <c r="P463" s="38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07"/>
      <c r="C464" s="607"/>
      <c r="D464" s="607"/>
      <c r="E464" s="617"/>
      <c r="F464" s="617"/>
      <c r="G464" s="618"/>
      <c r="H464" s="182" t="s">
        <v>35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"),670)</f>
        <v>670</v>
      </c>
      <c r="K464" s="38">
        <f t="shared" ca="1" si="237"/>
        <v>49.446494464944649</v>
      </c>
      <c r="L464" s="38"/>
      <c r="M464" s="38"/>
      <c r="N464" s="38"/>
      <c r="O464" s="38"/>
      <c r="P464" s="38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8">
        <f ca="1">J485+J489+J492</f>
        <v>1929</v>
      </c>
      <c r="K465" s="589">
        <f t="shared" ca="1" si="237"/>
        <v>100.46875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8">
        <f ca="1">J495+J498</f>
        <v>1300</v>
      </c>
      <c r="K466" s="569">
        <f t="shared" ca="1" si="237"/>
        <v>6.8421052631578947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574"/>
      <c r="C467" s="574" t="s">
        <v>16</v>
      </c>
      <c r="D467" s="860" t="s">
        <v>17</v>
      </c>
      <c r="E467" s="854"/>
      <c r="F467" s="854"/>
      <c r="G467" s="189"/>
      <c r="H467" s="596" t="s">
        <v>12</v>
      </c>
      <c r="I467" s="37"/>
      <c r="J467" s="37"/>
      <c r="K467" s="38"/>
      <c r="L467" s="195">
        <f t="shared" ref="L467:N467" ca="1" si="238">L468+L469</f>
        <v>16763735</v>
      </c>
      <c r="M467" s="195">
        <f t="shared" ca="1" si="238"/>
        <v>16763735</v>
      </c>
      <c r="N467" s="195">
        <f t="shared" ca="1" si="238"/>
        <v>4056947.36</v>
      </c>
      <c r="O467" s="195">
        <f t="shared" ref="O467:O472" ca="1" si="239">IF(L467&gt;0,N467*100/L467,0)</f>
        <v>24.200736649678607</v>
      </c>
      <c r="P467" s="195">
        <f t="shared" ref="P467:P472" ca="1" si="240">IF(M467&gt;0,N467*100/M467,0)</f>
        <v>24.200736649678607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598"/>
      <c r="C468" s="598"/>
      <c r="D468" s="599"/>
      <c r="E468" s="600" t="s">
        <v>185</v>
      </c>
      <c r="F468" s="598"/>
      <c r="G468" s="601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3"/>
      <c r="C469" s="598"/>
      <c r="D469" s="599"/>
      <c r="E469" s="600" t="s">
        <v>186</v>
      </c>
      <c r="F469" s="598"/>
      <c r="G469" s="601"/>
      <c r="H469" s="165" t="s">
        <v>12</v>
      </c>
      <c r="I469" s="44"/>
      <c r="J469" s="44"/>
      <c r="K469" s="45"/>
      <c r="L469" s="45">
        <f t="shared" ref="L469:N469" ca="1" si="242">L472+L479</f>
        <v>16763735</v>
      </c>
      <c r="M469" s="45">
        <f t="shared" ca="1" si="242"/>
        <v>16763735</v>
      </c>
      <c r="N469" s="45">
        <f t="shared" ca="1" si="242"/>
        <v>4056947.36</v>
      </c>
      <c r="O469" s="45">
        <f t="shared" ca="1" si="239"/>
        <v>24.200736649678607</v>
      </c>
      <c r="P469" s="45">
        <f t="shared" ca="1" si="240"/>
        <v>24.200736649678607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574"/>
      <c r="D470" s="604" t="s">
        <v>20</v>
      </c>
      <c r="E470" s="574"/>
      <c r="F470" s="574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16763735</v>
      </c>
      <c r="M470" s="38">
        <f t="shared" ca="1" si="243"/>
        <v>16763735</v>
      </c>
      <c r="N470" s="38">
        <f t="shared" ca="1" si="243"/>
        <v>4056947.36</v>
      </c>
      <c r="O470" s="38">
        <f t="shared" ca="1" si="239"/>
        <v>24.200736649678607</v>
      </c>
      <c r="P470" s="38">
        <f t="shared" ca="1" si="240"/>
        <v>24.200736649678607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3"/>
      <c r="C471" s="598"/>
      <c r="D471" s="599"/>
      <c r="E471" s="600" t="s">
        <v>185</v>
      </c>
      <c r="F471" s="598"/>
      <c r="G471" s="601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3"/>
      <c r="C472" s="598"/>
      <c r="D472" s="599"/>
      <c r="E472" s="600" t="s">
        <v>186</v>
      </c>
      <c r="F472" s="598"/>
      <c r="G472" s="601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93">
        <f ca="1">IFERROR(__xludf.DUMMYFUNCTION("IMPORTRANGE(""https://docs.google.com/spreadsheets/d/1fb2B9NLcpJgjIieIJvenUTNPn0TimZDUi0OtYeiSQ_s/edit?usp=share_link"",""กาฬสินธุ์!M472"")+IMPORTRANGE(""https://docs.google.com/spreadsheets/d/1SaMnqrwRGmFYNR0MhpWmHuL5niYUd5E7vDq8X7whAlI/edit?usp=share_li"&amp;"nk"",""ขอนแก่น!M472"")
+IMPORTRANGE(""https://docs.google.com/spreadsheets/d/1xQzEtGHhTTgxHh6YUkKY1P4dRyjVhS74dGswLfAASA4/edit?usp=share_link"",""ชัยภูมิ!M472"")+IMPORTRANGE(""https://docs.google.com/spreadsheets/d/1EXMBoBxU3OFbjT2TRpneM33qFjqDzrKmn9ydcfl"&amp;"fI0o/edit?usp=share_link"",""นครพนม!M472"")+IMPORTRANGE(""https://docs.google.com/spreadsheets/d/1bDQrolntRWtHumK8W-x-HXKntwxB9S3sF5aDeRS66Ko/edit?usp=share_link"",""นครราชสีมา!M472"")+IMPORTRANGE(""https://docs.google.com/spreadsheets/d/1_MzZ-2gVPiCW-d2V"&amp;"cafoCmFJQTSrZ6SQyFcMqRRQQ2w/edit?usp=share_link"",""บึงกาฬ!M472"")
+IMPORTRANGE(""https://docs.google.com/spreadsheets/d/1B3lPpzOuaNwVItLwLEZYl_qEblfcx7dRnbRkAw0l-pE/edit?usp=share_link"",""บุรีรัมย์!M472"")+IMPORTRANGE(""https://docs.google.com/spreadshe"&amp;"ets/d/19GOkiOqnzYbevLYWrMk4qFOXe3rX14BkSA8X-mq-a40/edit?usp=share_link"",""มหาสารคาม!M472"")+IMPORTRANGE(""https://docs.google.com/spreadsheets/d/1uMKqWwuNQ-TCKboGA3Bb1qXb5uj2-faACNUINCz8PN4/edit?usp=share_link"",""มุกดาหาร!M472"")+IMPORTRANGE(""https://d"&amp;"ocs.google.com/spreadsheets/d/1oKaccgDdQABndOzGr688Dbfxb_V3YcF67VqEPBtdzsc/edit?usp=share_link"",""ยโสธร!M472"")+IMPORTRANGE(""https://docs.google.com/spreadsheets/d/1BRgc8xKpxZ0PX-gauieMVkV_IOxKSotf0yW8MabGprQ/edit?usp=share_link"",""ร้อยเอ็ด!M472"")+IMP"&amp;"ORTRANGE(""https://docs.google.com/spreadsheets/d/1IdolZc-dfdgMwAm_KZxYJl1sUOcIgnbGQzbWOlddedo/edit?usp=share_link"",""เลย!M472"")+IMPORTRANGE(""https://docs.google.com/spreadsheets/d/1tZ0nmtGuIRCaGAMXHlQU8EpR9LOAJvyKfc4f7EFmE34/edit?usp=share_link"",""ศร"&amp;"ีสะเกษ!M472"")+IMPORTRANGE(""https://docs.google.com/spreadsheets/d/1QC8psz9w0f9IVE9Xuc2FT_btkaOzZbbUSgYObpBuetM/edit?usp=share_link"",""สกลนคร!M472"")+IMPORTRANGE(""https://docs.google.com/spreadsheets/d/1wPdvRbu02d33MYVlbsCnyTiZpefEBs9NNktAnT1HZvw/edit?"&amp;"usp=share_link"",""สุรินทร์!M472"")+IMPORTRANGE(""https://docs.google.com/spreadsheets/d/1GVExpf-Exi_2gmuqTYH28fseTB9MoKPXWcXCbSt_YrM/edit?usp=share_link"",""หนองคาย!M472"")+IMPORTRANGE(""https://docs.google.com/spreadsheets/d/16UeMz0UgOB5BZcoxP75eYGcLFtG"&amp;"YRn9GoesD4OX9m5U/edit?usp=share_link"",""หนองบัวลำภู!M472"")+IMPORTRANGE(""https://docs.google.com/spreadsheets/d/1uUP8Zo1-qaJLuIkRU0qlwLSE3DHkbdrrj2JGJiWBQZE/edit?usp=share_link"",""อำนาจเจริญ!M472"")+IMPORTRANGE(""https://docs.google.com/spreadsheets/d/"&amp;"1hb_taSOHanzRjqfzWPiFo8yiT83VV1L7vvUCLhOiHKc/edit?usp=share_link"",""อุดรธานี!M472"")+IMPORTRANGE(""https://docs.google.com/spreadsheets/d/17IOkEwkUd63EGNfyNDnM5de9YlZ7rwzTiW6-dokVjKI/edit?usp=share_link"",""อุบลราชธานี!M472"")
"),16763735)</f>
        <v>16763735</v>
      </c>
      <c r="N472" s="45">
        <f ca="1">N473+N474+N475+N476</f>
        <v>4056947.36</v>
      </c>
      <c r="O472" s="45">
        <f t="shared" ca="1" si="239"/>
        <v>24.200736649678607</v>
      </c>
      <c r="P472" s="45">
        <f t="shared" ca="1" si="240"/>
        <v>24.200736649678607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574"/>
      <c r="D473" s="574"/>
      <c r="E473" s="574"/>
      <c r="F473" s="575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"),1971737.3)</f>
        <v>1971737.3</v>
      </c>
      <c r="O473" s="38"/>
      <c r="P473" s="38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574"/>
      <c r="D474" s="574"/>
      <c r="E474" s="574"/>
      <c r="F474" s="575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"),821050)</f>
        <v>821050</v>
      </c>
      <c r="O474" s="38"/>
      <c r="P474" s="38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575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"),750624.06)</f>
        <v>750624.06</v>
      </c>
      <c r="O475" s="38"/>
      <c r="P475" s="38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575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"),513536)</f>
        <v>513536</v>
      </c>
      <c r="O476" s="38"/>
      <c r="P476" s="38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3"/>
      <c r="C478" s="603"/>
      <c r="D478" s="603"/>
      <c r="E478" s="605" t="s">
        <v>18</v>
      </c>
      <c r="F478" s="603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3"/>
      <c r="C479" s="603"/>
      <c r="D479" s="603"/>
      <c r="E479" s="605" t="s">
        <v>19</v>
      </c>
      <c r="F479" s="603"/>
      <c r="G479" s="601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07"/>
      <c r="C480" s="573" t="s">
        <v>16</v>
      </c>
      <c r="D480" s="619" t="s">
        <v>38</v>
      </c>
      <c r="E480" s="609"/>
      <c r="F480" s="610"/>
      <c r="G480" s="611"/>
      <c r="H480" s="175"/>
      <c r="I480" s="37"/>
      <c r="J480" s="37"/>
      <c r="K480" s="38"/>
      <c r="L480" s="38"/>
      <c r="M480" s="38"/>
      <c r="N480" s="38"/>
      <c r="O480" s="38"/>
      <c r="P480" s="38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07"/>
      <c r="C481" s="607"/>
      <c r="D481" s="620" t="s">
        <v>207</v>
      </c>
      <c r="E481" s="607"/>
      <c r="F481" s="607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07"/>
      <c r="C482" s="607"/>
      <c r="D482" s="607"/>
      <c r="E482" s="616" t="s">
        <v>208</v>
      </c>
      <c r="F482" s="607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07"/>
      <c r="C483" s="607"/>
      <c r="D483" s="607"/>
      <c r="E483" s="607"/>
      <c r="F483" s="616" t="s">
        <v>209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"),17177)</f>
        <v>17177</v>
      </c>
      <c r="K483" s="38">
        <f ca="1">IF(I483&gt;0,J483*100/I483,0)</f>
        <v>100.45029239766082</v>
      </c>
      <c r="L483" s="38"/>
      <c r="M483" s="38"/>
      <c r="N483" s="38"/>
      <c r="O483" s="38"/>
      <c r="P483" s="38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07"/>
      <c r="C484" s="607"/>
      <c r="D484" s="607"/>
      <c r="E484" s="607"/>
      <c r="F484" s="61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"),1055)</f>
        <v>1055</v>
      </c>
      <c r="K484" s="38"/>
      <c r="L484" s="38"/>
      <c r="M484" s="38"/>
      <c r="N484" s="38"/>
      <c r="O484" s="38"/>
      <c r="P484" s="38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07"/>
      <c r="C485" s="607"/>
      <c r="D485" s="607"/>
      <c r="E485" s="607"/>
      <c r="F485" s="616" t="s">
        <v>211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"),1703)</f>
        <v>1703</v>
      </c>
      <c r="K485" s="38">
        <f ca="1">IF(I485&gt;0,J485*100/I485,0)</f>
        <v>99.590643274853804</v>
      </c>
      <c r="L485" s="38"/>
      <c r="M485" s="38"/>
      <c r="N485" s="38"/>
      <c r="O485" s="38"/>
      <c r="P485" s="38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07"/>
      <c r="C486" s="607"/>
      <c r="D486" s="607"/>
      <c r="E486" s="616" t="s">
        <v>62</v>
      </c>
      <c r="F486" s="607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07"/>
      <c r="C487" s="607"/>
      <c r="D487" s="607"/>
      <c r="E487" s="607"/>
      <c r="F487" s="616" t="s">
        <v>209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"),1827)</f>
        <v>1827</v>
      </c>
      <c r="K487" s="38">
        <f ca="1">IF(I487&gt;0,J487*100/I487,0)</f>
        <v>96.15789473684211</v>
      </c>
      <c r="L487" s="38"/>
      <c r="M487" s="38"/>
      <c r="N487" s="38"/>
      <c r="O487" s="38"/>
      <c r="P487" s="38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07"/>
      <c r="C488" s="607"/>
      <c r="D488" s="607"/>
      <c r="E488" s="607"/>
      <c r="F488" s="61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"),104)</f>
        <v>104</v>
      </c>
      <c r="K488" s="38"/>
      <c r="L488" s="38"/>
      <c r="M488" s="38"/>
      <c r="N488" s="38"/>
      <c r="O488" s="38"/>
      <c r="P488" s="38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07"/>
      <c r="C489" s="607"/>
      <c r="D489" s="607"/>
      <c r="E489" s="607"/>
      <c r="F489" s="616" t="s">
        <v>213</v>
      </c>
      <c r="G489" s="175"/>
      <c r="H489" s="621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"),207)</f>
        <v>207</v>
      </c>
      <c r="K489" s="38">
        <f ca="1">IF(I489&gt;0,J489*100/I489,0)</f>
        <v>108.94736842105263</v>
      </c>
      <c r="L489" s="38"/>
      <c r="M489" s="38"/>
      <c r="N489" s="38"/>
      <c r="O489" s="38"/>
      <c r="P489" s="38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07"/>
      <c r="C490" s="607"/>
      <c r="D490" s="607"/>
      <c r="E490" s="616" t="s">
        <v>63</v>
      </c>
      <c r="F490" s="622"/>
      <c r="G490" s="175"/>
      <c r="H490" s="621"/>
      <c r="I490" s="37"/>
      <c r="J490" s="37"/>
      <c r="K490" s="38"/>
      <c r="L490" s="38"/>
      <c r="M490" s="38"/>
      <c r="N490" s="38"/>
      <c r="O490" s="38"/>
      <c r="P490" s="38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07"/>
      <c r="C491" s="607"/>
      <c r="D491" s="607"/>
      <c r="E491" s="607"/>
      <c r="F491" s="61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"),9)</f>
        <v>9</v>
      </c>
      <c r="K491" s="38"/>
      <c r="L491" s="38"/>
      <c r="M491" s="38"/>
      <c r="N491" s="38"/>
      <c r="O491" s="38"/>
      <c r="P491" s="38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07"/>
      <c r="C492" s="607"/>
      <c r="D492" s="607"/>
      <c r="E492" s="607"/>
      <c r="F492" s="616" t="s">
        <v>215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"),19)</f>
        <v>19</v>
      </c>
      <c r="K492" s="38">
        <f ca="1">IF(I492&gt;0,J492*100/I492,0)</f>
        <v>95</v>
      </c>
      <c r="L492" s="38"/>
      <c r="M492" s="38"/>
      <c r="N492" s="38"/>
      <c r="O492" s="38"/>
      <c r="P492" s="38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07"/>
      <c r="C493" s="607"/>
      <c r="D493" s="623" t="s">
        <v>59</v>
      </c>
      <c r="E493" s="607"/>
      <c r="F493" s="61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07"/>
      <c r="C494" s="607"/>
      <c r="D494" s="607"/>
      <c r="E494" s="616" t="s">
        <v>208</v>
      </c>
      <c r="F494" s="61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07"/>
      <c r="C495" s="607"/>
      <c r="D495" s="607"/>
      <c r="E495" s="607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"),1170)</f>
        <v>1170</v>
      </c>
      <c r="K495" s="38">
        <f ca="1">IF(I495&gt;0,J495*100/I495,0)</f>
        <v>6.8421052631578947</v>
      </c>
      <c r="L495" s="38"/>
      <c r="M495" s="38"/>
      <c r="N495" s="38"/>
      <c r="O495" s="38"/>
      <c r="P495" s="38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07"/>
      <c r="C496" s="607"/>
      <c r="D496" s="607"/>
      <c r="E496" s="607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"),1170)</f>
        <v>1170</v>
      </c>
      <c r="K496" s="38"/>
      <c r="L496" s="38"/>
      <c r="M496" s="38"/>
      <c r="N496" s="38"/>
      <c r="O496" s="38"/>
      <c r="P496" s="38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07"/>
      <c r="C497" s="607"/>
      <c r="D497" s="607"/>
      <c r="E497" s="616" t="s">
        <v>62</v>
      </c>
      <c r="F497" s="61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07"/>
      <c r="C498" s="607"/>
      <c r="D498" s="607"/>
      <c r="E498" s="617"/>
      <c r="F498" s="624" t="s">
        <v>218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"),130)</f>
        <v>130</v>
      </c>
      <c r="K498" s="38">
        <f ca="1">IF(I498&gt;0,J498*100/I498,0)</f>
        <v>6.8421052631578947</v>
      </c>
      <c r="L498" s="38"/>
      <c r="M498" s="38"/>
      <c r="N498" s="38"/>
      <c r="O498" s="38"/>
      <c r="P498" s="38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07"/>
      <c r="C499" s="607"/>
      <c r="D499" s="607"/>
      <c r="E499" s="617"/>
      <c r="F499" s="62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"),130)</f>
        <v>130</v>
      </c>
      <c r="K499" s="38"/>
      <c r="L499" s="38"/>
      <c r="M499" s="38"/>
      <c r="N499" s="38"/>
      <c r="O499" s="38"/>
      <c r="P499" s="38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47">J516</f>
        <v>0</v>
      </c>
      <c r="K500" s="632">
        <f t="shared" ref="K500:K501" si="248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5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47"/>
        <v>0</v>
      </c>
      <c r="K501" s="641">
        <f t="shared" si="248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598"/>
      <c r="C502" s="598" t="s">
        <v>16</v>
      </c>
      <c r="D502" s="861" t="s">
        <v>17</v>
      </c>
      <c r="E502" s="854"/>
      <c r="F502" s="854"/>
      <c r="G502" s="601"/>
      <c r="H502" s="644" t="s">
        <v>12</v>
      </c>
      <c r="I502" s="44"/>
      <c r="J502" s="44"/>
      <c r="K502" s="45"/>
      <c r="L502" s="645">
        <f t="shared" ref="L502:N502" si="249">L503+L504</f>
        <v>0</v>
      </c>
      <c r="M502" s="645">
        <f t="shared" si="249"/>
        <v>0</v>
      </c>
      <c r="N502" s="645">
        <f t="shared" si="249"/>
        <v>0</v>
      </c>
      <c r="O502" s="645">
        <f t="shared" ref="O502:O507" si="250">IF(L502&gt;0,N502*100/L502,0)</f>
        <v>0</v>
      </c>
      <c r="P502" s="645">
        <f t="shared" ref="P502:P507" si="251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598"/>
      <c r="C503" s="598"/>
      <c r="D503" s="599"/>
      <c r="E503" s="600" t="s">
        <v>185</v>
      </c>
      <c r="F503" s="598"/>
      <c r="G503" s="601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3"/>
      <c r="C504" s="598"/>
      <c r="D504" s="599"/>
      <c r="E504" s="600" t="s">
        <v>186</v>
      </c>
      <c r="F504" s="598"/>
      <c r="G504" s="601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3"/>
      <c r="C505" s="598"/>
      <c r="D505" s="646" t="s">
        <v>20</v>
      </c>
      <c r="E505" s="598"/>
      <c r="F505" s="598"/>
      <c r="G505" s="601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3"/>
      <c r="C506" s="598"/>
      <c r="D506" s="599"/>
      <c r="E506" s="600" t="s">
        <v>185</v>
      </c>
      <c r="F506" s="598"/>
      <c r="G506" s="601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3"/>
      <c r="C507" s="598"/>
      <c r="D507" s="599"/>
      <c r="E507" s="600" t="s">
        <v>186</v>
      </c>
      <c r="F507" s="598"/>
      <c r="G507" s="601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3"/>
      <c r="C508" s="598"/>
      <c r="D508" s="598"/>
      <c r="E508" s="598"/>
      <c r="F508" s="600" t="s">
        <v>187</v>
      </c>
      <c r="G508" s="601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3"/>
      <c r="C509" s="598"/>
      <c r="D509" s="598"/>
      <c r="E509" s="598"/>
      <c r="F509" s="600" t="s">
        <v>188</v>
      </c>
      <c r="G509" s="601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3"/>
      <c r="C510" s="603"/>
      <c r="D510" s="603"/>
      <c r="E510" s="598"/>
      <c r="F510" s="600" t="s">
        <v>189</v>
      </c>
      <c r="G510" s="601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3"/>
      <c r="C511" s="603"/>
      <c r="D511" s="603"/>
      <c r="E511" s="598"/>
      <c r="F511" s="600" t="s">
        <v>190</v>
      </c>
      <c r="G511" s="601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3"/>
      <c r="C512" s="603"/>
      <c r="D512" s="646" t="s">
        <v>21</v>
      </c>
      <c r="E512" s="603"/>
      <c r="F512" s="598"/>
      <c r="G512" s="601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3"/>
      <c r="C513" s="603"/>
      <c r="D513" s="603"/>
      <c r="E513" s="605" t="s">
        <v>18</v>
      </c>
      <c r="F513" s="598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3"/>
      <c r="C514" s="603"/>
      <c r="D514" s="598"/>
      <c r="E514" s="605" t="s">
        <v>19</v>
      </c>
      <c r="F514" s="598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3"/>
      <c r="C515" s="603" t="s">
        <v>16</v>
      </c>
      <c r="D515" s="648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3"/>
      <c r="C516" s="613"/>
      <c r="D516" s="614" t="s">
        <v>222</v>
      </c>
      <c r="E516" s="599"/>
      <c r="F516" s="599"/>
      <c r="G516" s="366"/>
      <c r="H516" s="651" t="s">
        <v>109</v>
      </c>
      <c r="I516" s="44"/>
      <c r="J516" s="615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3"/>
      <c r="C517" s="613"/>
      <c r="D517" s="614" t="s">
        <v>223</v>
      </c>
      <c r="E517" s="599"/>
      <c r="F517" s="599"/>
      <c r="G517" s="366"/>
      <c r="H517" s="652" t="s">
        <v>35</v>
      </c>
      <c r="I517" s="653"/>
      <c r="J517" s="653">
        <f>J518+J519</f>
        <v>0</v>
      </c>
      <c r="K517" s="654">
        <f t="shared" si="258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3"/>
      <c r="C518" s="613"/>
      <c r="D518" s="613"/>
      <c r="E518" s="614" t="s">
        <v>224</v>
      </c>
      <c r="F518" s="599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3"/>
      <c r="C519" s="613"/>
      <c r="D519" s="613"/>
      <c r="E519" s="614" t="s">
        <v>225</v>
      </c>
      <c r="F519" s="599"/>
      <c r="G519" s="366"/>
      <c r="H519" s="65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674">
        <f t="shared" ref="I522:J522" ca="1" si="259">I537</f>
        <v>80</v>
      </c>
      <c r="J522" s="674">
        <f t="shared" ca="1" si="259"/>
        <v>80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574"/>
      <c r="C523" s="574" t="s">
        <v>16</v>
      </c>
      <c r="D523" s="860" t="s">
        <v>17</v>
      </c>
      <c r="E523" s="854"/>
      <c r="F523" s="854"/>
      <c r="G523" s="189"/>
      <c r="H523" s="596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ca="1" si="260"/>
        <v>704720</v>
      </c>
      <c r="N523" s="195">
        <f t="shared" ca="1" si="260"/>
        <v>454010.82</v>
      </c>
      <c r="O523" s="195">
        <f t="shared" ref="O523:O528" ca="1" si="261">IF(L523&gt;0,N523*100/L523,0)</f>
        <v>64.424284822340795</v>
      </c>
      <c r="P523" s="195">
        <f t="shared" ref="P523:P528" ca="1" si="262">IF(M523&gt;0,N523*100/M523,0)</f>
        <v>64.424284822340795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598"/>
      <c r="C524" s="598"/>
      <c r="D524" s="599"/>
      <c r="E524" s="600" t="s">
        <v>185</v>
      </c>
      <c r="F524" s="598"/>
      <c r="G524" s="601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3"/>
      <c r="C525" s="598"/>
      <c r="D525" s="599"/>
      <c r="E525" s="600" t="s">
        <v>186</v>
      </c>
      <c r="F525" s="598"/>
      <c r="G525" s="601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ca="1" si="264"/>
        <v>704720</v>
      </c>
      <c r="N525" s="45">
        <f t="shared" ca="1" si="264"/>
        <v>454010.82</v>
      </c>
      <c r="O525" s="45">
        <f t="shared" ca="1" si="261"/>
        <v>64.424284822340795</v>
      </c>
      <c r="P525" s="45">
        <f t="shared" ca="1" si="262"/>
        <v>64.424284822340795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574"/>
      <c r="D526" s="604" t="s">
        <v>20</v>
      </c>
      <c r="E526" s="574"/>
      <c r="F526" s="574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ca="1" si="265"/>
        <v>704720</v>
      </c>
      <c r="N526" s="38">
        <f t="shared" ca="1" si="265"/>
        <v>454010.82</v>
      </c>
      <c r="O526" s="38">
        <f t="shared" ca="1" si="261"/>
        <v>64.424284822340795</v>
      </c>
      <c r="P526" s="38">
        <f t="shared" ca="1" si="262"/>
        <v>64.424284822340795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3"/>
      <c r="C527" s="598"/>
      <c r="D527" s="599"/>
      <c r="E527" s="600" t="s">
        <v>185</v>
      </c>
      <c r="F527" s="598"/>
      <c r="G527" s="601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3"/>
      <c r="C528" s="598"/>
      <c r="D528" s="599"/>
      <c r="E528" s="600" t="s">
        <v>186</v>
      </c>
      <c r="F528" s="598"/>
      <c r="G528" s="601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f ca="1">IFERROR(__xludf.DUMMYFUNCTION("IMPORTRANGE(""https://docs.google.com/spreadsheets/d/1fb2B9NLcpJgjIieIJvenUTNPn0TimZDUi0OtYeiSQ_s/edit?usp=share_link"",""กาฬสินธุ์!M528"")+IMPORTRANGE(""https://docs.google.com/spreadsheets/d/1SaMnqrwRGmFYNR0MhpWmHuL5niYUd5E7vDq8X7whAlI/edit?usp=share_li"&amp;"nk"",""ขอนแก่น!M528"")
+IMPORTRANGE(""https://docs.google.com/spreadsheets/d/1xQzEtGHhTTgxHh6YUkKY1P4dRyjVhS74dGswLfAASA4/edit?usp=share_link"",""ชัยภูมิ!M528"")+IMPORTRANGE(""https://docs.google.com/spreadsheets/d/1EXMBoBxU3OFbjT2TRpneM33qFjqDzrKmn9ydcfl"&amp;"fI0o/edit?usp=share_link"",""นครพนม!M528"")+IMPORTRANGE(""https://docs.google.com/spreadsheets/d/1bDQrolntRWtHumK8W-x-HXKntwxB9S3sF5aDeRS66Ko/edit?usp=share_link"",""นครราชสีมา!M528"")+IMPORTRANGE(""https://docs.google.com/spreadsheets/d/1_MzZ-2gVPiCW-d2V"&amp;"cafoCmFJQTSrZ6SQyFcMqRRQQ2w/edit?usp=share_link"",""บึงกาฬ!M528"")
+IMPORTRANGE(""https://docs.google.com/spreadsheets/d/1B3lPpzOuaNwVItLwLEZYl_qEblfcx7dRnbRkAw0l-pE/edit?usp=share_link"",""บุรีรัมย์!M528"")+IMPORTRANGE(""https://docs.google.com/spreadshe"&amp;"ets/d/19GOkiOqnzYbevLYWrMk4qFOXe3rX14BkSA8X-mq-a40/edit?usp=share_link"",""มหาสารคาม!M528"")+IMPORTRANGE(""https://docs.google.com/spreadsheets/d/1uMKqWwuNQ-TCKboGA3Bb1qXb5uj2-faACNUINCz8PN4/edit?usp=share_link"",""มุกดาหาร!M528"")+IMPORTRANGE(""https://d"&amp;"ocs.google.com/spreadsheets/d/1oKaccgDdQABndOzGr688Dbfxb_V3YcF67VqEPBtdzsc/edit?usp=share_link"",""ยโสธร!M528"")+IMPORTRANGE(""https://docs.google.com/spreadsheets/d/1BRgc8xKpxZ0PX-gauieMVkV_IOxKSotf0yW8MabGprQ/edit?usp=share_link"",""ร้อยเอ็ด!M528"")+IMP"&amp;"ORTRANGE(""https://docs.google.com/spreadsheets/d/1IdolZc-dfdgMwAm_KZxYJl1sUOcIgnbGQzbWOlddedo/edit?usp=share_link"",""เลย!M528"")+IMPORTRANGE(""https://docs.google.com/spreadsheets/d/1tZ0nmtGuIRCaGAMXHlQU8EpR9LOAJvyKfc4f7EFmE34/edit?usp=share_link"",""ศร"&amp;"ีสะเกษ!M528"")+IMPORTRANGE(""https://docs.google.com/spreadsheets/d/1QC8psz9w0f9IVE9Xuc2FT_btkaOzZbbUSgYObpBuetM/edit?usp=share_link"",""สกลนคร!M528"")+IMPORTRANGE(""https://docs.google.com/spreadsheets/d/1wPdvRbu02d33MYVlbsCnyTiZpefEBs9NNktAnT1HZvw/edit?"&amp;"usp=share_link"",""สุรินทร์!M528"")+IMPORTRANGE(""https://docs.google.com/spreadsheets/d/1GVExpf-Exi_2gmuqTYH28fseTB9MoKPXWcXCbSt_YrM/edit?usp=share_link"",""หนองคาย!M528"")+IMPORTRANGE(""https://docs.google.com/spreadsheets/d/16UeMz0UgOB5BZcoxP75eYGcLFtG"&amp;"YRn9GoesD4OX9m5U/edit?usp=share_link"",""หนองบัวลำภู!M528"")+IMPORTRANGE(""https://docs.google.com/spreadsheets/d/1uUP8Zo1-qaJLuIkRU0qlwLSE3DHkbdrrj2JGJiWBQZE/edit?usp=share_link"",""อำนาจเจริญ!M528"")+IMPORTRANGE(""https://docs.google.com/spreadsheets/d/"&amp;"1hb_taSOHanzRjqfzWPiFo8yiT83VV1L7vvUCLhOiHKc/edit?usp=share_link"",""อุดรธานี!M528"")+IMPORTRANGE(""https://docs.google.com/spreadsheets/d/17IOkEwkUd63EGNfyNDnM5de9YlZ7rwzTiW6-dokVjKI/edit?usp=share_link"",""อุบลราชธานี!M528"")
"),704720)</f>
        <v>704720</v>
      </c>
      <c r="N528" s="45">
        <f ca="1">N529+N530+N531+N532</f>
        <v>454010.82</v>
      </c>
      <c r="O528" s="45">
        <f t="shared" ca="1" si="261"/>
        <v>64.424284822340795</v>
      </c>
      <c r="P528" s="45">
        <f t="shared" ca="1" si="262"/>
        <v>64.424284822340795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574"/>
      <c r="D529" s="574"/>
      <c r="E529" s="574"/>
      <c r="F529" s="575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"),180610)</f>
        <v>180610</v>
      </c>
      <c r="O529" s="38"/>
      <c r="P529" s="38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574"/>
      <c r="D530" s="574"/>
      <c r="E530" s="574"/>
      <c r="F530" s="575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"),249786.82)</f>
        <v>249786.82</v>
      </c>
      <c r="O530" s="38"/>
      <c r="P530" s="38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574"/>
      <c r="D531" s="574"/>
      <c r="E531" s="574"/>
      <c r="F531" s="575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574"/>
      <c r="D532" s="574"/>
      <c r="E532" s="574"/>
      <c r="F532" s="575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"),23614)</f>
        <v>23614</v>
      </c>
      <c r="O532" s="38"/>
      <c r="P532" s="38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574"/>
      <c r="D533" s="604" t="s">
        <v>21</v>
      </c>
      <c r="E533" s="574"/>
      <c r="F533" s="574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3"/>
      <c r="C534" s="598"/>
      <c r="D534" s="598"/>
      <c r="E534" s="600" t="s">
        <v>18</v>
      </c>
      <c r="F534" s="598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3"/>
      <c r="C535" s="598"/>
      <c r="D535" s="598"/>
      <c r="E535" s="600" t="s">
        <v>19</v>
      </c>
      <c r="F535" s="598"/>
      <c r="G535" s="601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07"/>
      <c r="C536" s="574" t="s">
        <v>16</v>
      </c>
      <c r="D536" s="677" t="s">
        <v>38</v>
      </c>
      <c r="E536" s="610"/>
      <c r="F536" s="610"/>
      <c r="G536" s="611"/>
      <c r="H536" s="175"/>
      <c r="I536" s="162"/>
      <c r="J536" s="162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574"/>
      <c r="D537" s="678" t="s">
        <v>228</v>
      </c>
      <c r="E537" s="574"/>
      <c r="F537" s="574"/>
      <c r="G537" s="189"/>
      <c r="H537" s="36" t="s">
        <v>35</v>
      </c>
      <c r="I537" s="679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"),80)</f>
        <v>80</v>
      </c>
      <c r="K537" s="195">
        <f t="shared" ref="K537:K543" ca="1" si="269">IF(I537&gt;0,J537*100/I537,0)</f>
        <v>100</v>
      </c>
      <c r="L537" s="38"/>
      <c r="M537" s="38"/>
      <c r="N537" s="38"/>
      <c r="O537" s="38"/>
      <c r="P537" s="3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574"/>
      <c r="D538" s="575"/>
      <c r="E538" s="681" t="s">
        <v>229</v>
      </c>
      <c r="F538" s="574"/>
      <c r="G538" s="189"/>
      <c r="H538" s="36" t="s">
        <v>35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574"/>
      <c r="D539" s="575"/>
      <c r="E539" s="681" t="s">
        <v>230</v>
      </c>
      <c r="F539" s="574"/>
      <c r="G539" s="189"/>
      <c r="H539" s="36" t="s">
        <v>35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574"/>
      <c r="D540" s="575"/>
      <c r="E540" s="681" t="s">
        <v>231</v>
      </c>
      <c r="F540" s="574"/>
      <c r="G540" s="189"/>
      <c r="H540" s="36" t="s">
        <v>35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574"/>
      <c r="D541" s="575"/>
      <c r="E541" s="682" t="s">
        <v>232</v>
      </c>
      <c r="F541" s="574"/>
      <c r="G541" s="189"/>
      <c r="H541" s="36" t="s">
        <v>35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"),80)</f>
        <v>80</v>
      </c>
      <c r="K541" s="38">
        <f t="shared" ca="1" si="269"/>
        <v>100</v>
      </c>
      <c r="L541" s="38"/>
      <c r="M541" s="38"/>
      <c r="N541" s="38"/>
      <c r="O541" s="38"/>
      <c r="P541" s="3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574"/>
      <c r="D542" s="575" t="s">
        <v>59</v>
      </c>
      <c r="E542" s="574"/>
      <c r="F542" s="574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"),50)</f>
        <v>50</v>
      </c>
      <c r="K542" s="38">
        <f t="shared" ca="1" si="269"/>
        <v>62.5</v>
      </c>
      <c r="L542" s="38"/>
      <c r="M542" s="38"/>
      <c r="N542" s="38"/>
      <c r="O542" s="38"/>
      <c r="P542" s="3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70">I559</f>
        <v>1172953</v>
      </c>
      <c r="J543" s="685">
        <f t="shared" ca="1" si="270"/>
        <v>606611.01899999997</v>
      </c>
      <c r="K543" s="686">
        <f t="shared" ca="1" si="269"/>
        <v>51.716566563195627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62" t="s">
        <v>17</v>
      </c>
      <c r="E544" s="859"/>
      <c r="F544" s="859"/>
      <c r="G544" s="689"/>
      <c r="H544" s="275" t="s">
        <v>12</v>
      </c>
      <c r="I544" s="153"/>
      <c r="J544" s="153"/>
      <c r="K544" s="154"/>
      <c r="L544" s="155">
        <f t="shared" ref="L544:N544" ca="1" si="271">L545+L546</f>
        <v>9848653</v>
      </c>
      <c r="M544" s="155">
        <f t="shared" ca="1" si="271"/>
        <v>9848653</v>
      </c>
      <c r="N544" s="155">
        <f t="shared" ca="1" si="271"/>
        <v>4898921.6400000006</v>
      </c>
      <c r="O544" s="155">
        <f t="shared" ref="O544:O549" ca="1" si="272">IF(L544&gt;0,N544*100/L544,0)</f>
        <v>49.742047364243625</v>
      </c>
      <c r="P544" s="155">
        <f t="shared" ref="P544:P549" ca="1" si="273">IF(M544&gt;0,N544*100/M544,0)</f>
        <v>49.742047364243625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598"/>
      <c r="C545" s="598"/>
      <c r="D545" s="598"/>
      <c r="E545" s="600" t="s">
        <v>185</v>
      </c>
      <c r="F545" s="598"/>
      <c r="G545" s="601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3"/>
      <c r="C546" s="598"/>
      <c r="D546" s="598"/>
      <c r="E546" s="600" t="s">
        <v>186</v>
      </c>
      <c r="F546" s="598"/>
      <c r="G546" s="601"/>
      <c r="H546" s="165" t="s">
        <v>12</v>
      </c>
      <c r="I546" s="44"/>
      <c r="J546" s="44"/>
      <c r="K546" s="45"/>
      <c r="L546" s="45">
        <f t="shared" ca="1" si="274"/>
        <v>9848653</v>
      </c>
      <c r="M546" s="45">
        <f t="shared" ref="M546:N546" ca="1" si="276">M549+M556</f>
        <v>9848653</v>
      </c>
      <c r="N546" s="45">
        <f t="shared" ca="1" si="276"/>
        <v>4898921.6400000006</v>
      </c>
      <c r="O546" s="45">
        <f t="shared" ca="1" si="272"/>
        <v>49.742047364243625</v>
      </c>
      <c r="P546" s="45">
        <f t="shared" ca="1" si="273"/>
        <v>49.742047364243625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574"/>
      <c r="D547" s="604" t="s">
        <v>20</v>
      </c>
      <c r="E547" s="574"/>
      <c r="F547" s="574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9848653</v>
      </c>
      <c r="M547" s="38">
        <f t="shared" ca="1" si="277"/>
        <v>9848653</v>
      </c>
      <c r="N547" s="38">
        <f t="shared" ca="1" si="277"/>
        <v>4898921.6400000006</v>
      </c>
      <c r="O547" s="38">
        <f t="shared" ca="1" si="272"/>
        <v>49.742047364243625</v>
      </c>
      <c r="P547" s="38">
        <f t="shared" ca="1" si="273"/>
        <v>49.742047364243625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3"/>
      <c r="C548" s="598"/>
      <c r="D548" s="599"/>
      <c r="E548" s="600" t="s">
        <v>185</v>
      </c>
      <c r="F548" s="598"/>
      <c r="G548" s="601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3"/>
      <c r="C549" s="598"/>
      <c r="D549" s="599"/>
      <c r="E549" s="600" t="s">
        <v>186</v>
      </c>
      <c r="F549" s="598"/>
      <c r="G549" s="601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"),9848653)</f>
        <v>9848653</v>
      </c>
      <c r="M549" s="93">
        <f ca="1">IFERROR(__xludf.DUMMYFUNCTION("IMPORTRANGE(""https://docs.google.com/spreadsheets/d/1fb2B9NLcpJgjIieIJvenUTNPn0TimZDUi0OtYeiSQ_s/edit?usp=share_link"",""กาฬสินธุ์!M549"")+IMPORTRANGE(""https://docs.google.com/spreadsheets/d/1SaMnqrwRGmFYNR0MhpWmHuL5niYUd5E7vDq8X7whAlI/edit?usp=share_li"&amp;"nk"",""ขอนแก่น!M549"")
+IMPORTRANGE(""https://docs.google.com/spreadsheets/d/1xQzEtGHhTTgxHh6YUkKY1P4dRyjVhS74dGswLfAASA4/edit?usp=share_link"",""ชัยภูมิ!M549"")+IMPORTRANGE(""https://docs.google.com/spreadsheets/d/1EXMBoBxU3OFbjT2TRpneM33qFjqDzrKmn9ydcfl"&amp;"fI0o/edit?usp=share_link"",""นครพนม!M549"")+IMPORTRANGE(""https://docs.google.com/spreadsheets/d/1bDQrolntRWtHumK8W-x-HXKntwxB9S3sF5aDeRS66Ko/edit?usp=share_link"",""นครราชสีมา!M549"")+IMPORTRANGE(""https://docs.google.com/spreadsheets/d/1_MzZ-2gVPiCW-d2V"&amp;"cafoCmFJQTSrZ6SQyFcMqRRQQ2w/edit?usp=share_link"",""บึงกาฬ!M549"")
+IMPORTRANGE(""https://docs.google.com/spreadsheets/d/1B3lPpzOuaNwVItLwLEZYl_qEblfcx7dRnbRkAw0l-pE/edit?usp=share_link"",""บุรีรัมย์!M549"")+IMPORTRANGE(""https://docs.google.com/spreadshe"&amp;"ets/d/19GOkiOqnzYbevLYWrMk4qFOXe3rX14BkSA8X-mq-a40/edit?usp=share_link"",""มหาสารคาม!M549"")+IMPORTRANGE(""https://docs.google.com/spreadsheets/d/1uMKqWwuNQ-TCKboGA3Bb1qXb5uj2-faACNUINCz8PN4/edit?usp=share_link"",""มุกดาหาร!M549"")+IMPORTRANGE(""https://d"&amp;"ocs.google.com/spreadsheets/d/1oKaccgDdQABndOzGr688Dbfxb_V3YcF67VqEPBtdzsc/edit?usp=share_link"",""ยโสธร!M549"")+IMPORTRANGE(""https://docs.google.com/spreadsheets/d/1BRgc8xKpxZ0PX-gauieMVkV_IOxKSotf0yW8MabGprQ/edit?usp=share_link"",""ร้อยเอ็ด!M549"")+IMP"&amp;"ORTRANGE(""https://docs.google.com/spreadsheets/d/1IdolZc-dfdgMwAm_KZxYJl1sUOcIgnbGQzbWOlddedo/edit?usp=share_link"",""เลย!M549"")+IMPORTRANGE(""https://docs.google.com/spreadsheets/d/1tZ0nmtGuIRCaGAMXHlQU8EpR9LOAJvyKfc4f7EFmE34/edit?usp=share_link"",""ศร"&amp;"ีสะเกษ!M549"")+IMPORTRANGE(""https://docs.google.com/spreadsheets/d/1QC8psz9w0f9IVE9Xuc2FT_btkaOzZbbUSgYObpBuetM/edit?usp=share_link"",""สกลนคร!M549"")+IMPORTRANGE(""https://docs.google.com/spreadsheets/d/1wPdvRbu02d33MYVlbsCnyTiZpefEBs9NNktAnT1HZvw/edit?"&amp;"usp=share_link"",""สุรินทร์!M549"")+IMPORTRANGE(""https://docs.google.com/spreadsheets/d/1GVExpf-Exi_2gmuqTYH28fseTB9MoKPXWcXCbSt_YrM/edit?usp=share_link"",""หนองคาย!M549"")+IMPORTRANGE(""https://docs.google.com/spreadsheets/d/16UeMz0UgOB5BZcoxP75eYGcLFtG"&amp;"YRn9GoesD4OX9m5U/edit?usp=share_link"",""หนองบัวลำภู!M549"")+IMPORTRANGE(""https://docs.google.com/spreadsheets/d/1uUP8Zo1-qaJLuIkRU0qlwLSE3DHkbdrrj2JGJiWBQZE/edit?usp=share_link"",""อำนาจเจริญ!M549"")+IMPORTRANGE(""https://docs.google.com/spreadsheets/d/"&amp;"1hb_taSOHanzRjqfzWPiFo8yiT83VV1L7vvUCLhOiHKc/edit?usp=share_link"",""อุดรธานี!M549"")+IMPORTRANGE(""https://docs.google.com/spreadsheets/d/17IOkEwkUd63EGNfyNDnM5de9YlZ7rwzTiW6-dokVjKI/edit?usp=share_link"",""อุบลราชธานี!M549"")
"),9848653)</f>
        <v>9848653</v>
      </c>
      <c r="N549" s="45">
        <f ca="1">N550+N551+N552+N553+N554</f>
        <v>4898921.6400000006</v>
      </c>
      <c r="O549" s="45">
        <f t="shared" ca="1" si="272"/>
        <v>49.742047364243625</v>
      </c>
      <c r="P549" s="45">
        <f t="shared" ca="1" si="273"/>
        <v>49.742047364243625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574"/>
      <c r="D550" s="574"/>
      <c r="E550" s="574"/>
      <c r="F550" s="575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574"/>
      <c r="F551" s="575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"),44990)</f>
        <v>44990</v>
      </c>
      <c r="O551" s="38"/>
      <c r="P551" s="38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574"/>
      <c r="D552" s="574"/>
      <c r="E552" s="574"/>
      <c r="F552" s="575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"),1350413.52)</f>
        <v>1350413.52</v>
      </c>
      <c r="O552" s="38"/>
      <c r="P552" s="38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574"/>
      <c r="F553" s="575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"),3486801.12)</f>
        <v>3486801.12</v>
      </c>
      <c r="O553" s="38"/>
      <c r="P553" s="38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574"/>
      <c r="F554" s="575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"),16717)</f>
        <v>16717</v>
      </c>
      <c r="O554" s="38"/>
      <c r="P554" s="38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574"/>
      <c r="F555" s="574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3"/>
      <c r="C556" s="603"/>
      <c r="D556" s="598"/>
      <c r="E556" s="600" t="s">
        <v>18</v>
      </c>
      <c r="F556" s="598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3"/>
      <c r="C557" s="603"/>
      <c r="D557" s="598"/>
      <c r="E557" s="600" t="s">
        <v>19</v>
      </c>
      <c r="F557" s="598"/>
      <c r="G557" s="601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07"/>
      <c r="C558" s="573" t="s">
        <v>16</v>
      </c>
      <c r="D558" s="677" t="s">
        <v>38</v>
      </c>
      <c r="E558" s="610"/>
      <c r="F558" s="610"/>
      <c r="G558" s="611"/>
      <c r="H558" s="175"/>
      <c r="I558" s="162"/>
      <c r="J558" s="162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674">
        <f t="shared" ref="I559:J559" ca="1" si="281">I576</f>
        <v>1172953</v>
      </c>
      <c r="J559" s="674">
        <f t="shared" ca="1" si="281"/>
        <v>606611.01899999997</v>
      </c>
      <c r="K559" s="675">
        <f t="shared" ref="K559:K561" ca="1" si="282">IF(I559&gt;0,J559*100/I559,0)</f>
        <v>51.716566563195627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07"/>
      <c r="C560" s="620" t="s">
        <v>236</v>
      </c>
      <c r="D560" s="607"/>
      <c r="E560" s="617"/>
      <c r="F560" s="617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1173146.5699999991</v>
      </c>
      <c r="K560" s="411">
        <f t="shared" ca="1" si="282"/>
        <v>100.01650279252443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07"/>
      <c r="C561" s="607"/>
      <c r="D561" s="617"/>
      <c r="E561" s="617"/>
      <c r="F561" s="617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126190</v>
      </c>
      <c r="K561" s="411">
        <f t="shared" ca="1" si="282"/>
        <v>100.01822980652626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07"/>
      <c r="C562" s="607"/>
      <c r="D562" s="187" t="s">
        <v>237</v>
      </c>
      <c r="E562" s="617"/>
      <c r="F562" s="617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"),930045.889999999)</f>
        <v>930045.88999999897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07"/>
      <c r="C563" s="607"/>
      <c r="D563" s="607"/>
      <c r="E563" s="617"/>
      <c r="F563" s="617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"),105007)</f>
        <v>105007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07"/>
      <c r="C564" s="607"/>
      <c r="D564" s="187" t="s">
        <v>238</v>
      </c>
      <c r="E564" s="617"/>
      <c r="F564" s="617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"),203884.975)</f>
        <v>203884.97500000001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07"/>
      <c r="C565" s="607"/>
      <c r="D565" s="617"/>
      <c r="E565" s="617"/>
      <c r="F565" s="617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"),17194)</f>
        <v>17194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07"/>
      <c r="C566" s="607"/>
      <c r="D566" s="187" t="s">
        <v>239</v>
      </c>
      <c r="E566" s="617"/>
      <c r="F566" s="617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"),39215.705)</f>
        <v>39215.705000000002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07"/>
      <c r="C567" s="607"/>
      <c r="D567" s="617"/>
      <c r="E567" s="617"/>
      <c r="F567" s="617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"),3989)</f>
        <v>3989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07"/>
      <c r="C568" s="620" t="s">
        <v>240</v>
      </c>
      <c r="D568" s="617"/>
      <c r="E568" s="617"/>
      <c r="F568" s="617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1150823.3794999979</v>
      </c>
      <c r="K568" s="411">
        <f t="shared" ref="K568:K569" ca="1" si="285">IF(I568&gt;0,J568*100/I568,0)</f>
        <v>98.113341242146788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07"/>
      <c r="C569" s="607"/>
      <c r="D569" s="607"/>
      <c r="E569" s="617"/>
      <c r="F569" s="617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124347</v>
      </c>
      <c r="K569" s="411">
        <f t="shared" ca="1" si="285"/>
        <v>98.557467483573362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07"/>
      <c r="C570" s="607"/>
      <c r="D570" s="187" t="s">
        <v>241</v>
      </c>
      <c r="E570" s="607"/>
      <c r="F570" s="617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"),949665.543499999)</f>
        <v>949665.54349999898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07"/>
      <c r="C571" s="607"/>
      <c r="D571" s="607"/>
      <c r="E571" s="617"/>
      <c r="F571" s="617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"),107020)</f>
        <v>107020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07"/>
      <c r="C572" s="607"/>
      <c r="D572" s="187" t="s">
        <v>242</v>
      </c>
      <c r="E572" s="617"/>
      <c r="F572" s="617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"),159588.607999999)</f>
        <v>159588.60799999899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07"/>
      <c r="C573" s="607"/>
      <c r="D573" s="617"/>
      <c r="E573" s="617"/>
      <c r="F573" s="617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"),12992)</f>
        <v>12992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07"/>
      <c r="C574" s="607"/>
      <c r="D574" s="187" t="s">
        <v>243</v>
      </c>
      <c r="E574" s="617"/>
      <c r="F574" s="617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"),41569.2279999999)</f>
        <v>41569.227999999901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07"/>
      <c r="C575" s="607"/>
      <c r="D575" s="607"/>
      <c r="E575" s="617"/>
      <c r="F575" s="617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"),4335)</f>
        <v>4335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07"/>
      <c r="C576" s="620" t="s">
        <v>244</v>
      </c>
      <c r="D576" s="607"/>
      <c r="E576" s="607"/>
      <c r="F576" s="617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606611.01899999997</v>
      </c>
      <c r="K576" s="411">
        <f t="shared" ref="K576:K577" ca="1" si="287">IF(I576&gt;0,J576*100/I576,0)</f>
        <v>51.716566563195627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07"/>
      <c r="C577" s="607"/>
      <c r="D577" s="607"/>
      <c r="E577" s="617"/>
      <c r="F577" s="617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60260</v>
      </c>
      <c r="K577" s="411">
        <f t="shared" ca="1" si="287"/>
        <v>47.762093098829332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07"/>
      <c r="C578" s="607"/>
      <c r="D578" s="187" t="s">
        <v>245</v>
      </c>
      <c r="E578" s="617"/>
      <c r="F578" s="617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"),509343.961)</f>
        <v>509343.96100000001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07"/>
      <c r="C579" s="607"/>
      <c r="D579" s="607"/>
      <c r="E579" s="617"/>
      <c r="F579" s="617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"),52605)</f>
        <v>52605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07"/>
      <c r="C580" s="607"/>
      <c r="D580" s="187" t="s">
        <v>246</v>
      </c>
      <c r="E580" s="617"/>
      <c r="F580" s="617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"),77692.285)</f>
        <v>77692.285000000003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07"/>
      <c r="C581" s="607"/>
      <c r="D581" s="607"/>
      <c r="E581" s="617"/>
      <c r="F581" s="617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"),5890)</f>
        <v>5890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07"/>
      <c r="C582" s="607"/>
      <c r="D582" s="187" t="s">
        <v>247</v>
      </c>
      <c r="E582" s="617"/>
      <c r="F582" s="617"/>
      <c r="G582" s="175"/>
      <c r="H582" s="182" t="s">
        <v>46</v>
      </c>
      <c r="I582" s="162"/>
      <c r="J582" s="194">
        <f t="shared" ref="J582:J583" ca="1" si="288">J584+J586</f>
        <v>19476.772999999899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07"/>
      <c r="C583" s="607"/>
      <c r="D583" s="607"/>
      <c r="E583" s="617"/>
      <c r="F583" s="617"/>
      <c r="G583" s="175"/>
      <c r="H583" s="182" t="s">
        <v>34</v>
      </c>
      <c r="I583" s="162"/>
      <c r="J583" s="194">
        <f t="shared" ca="1" si="288"/>
        <v>1737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07"/>
      <c r="C584" s="607"/>
      <c r="D584" s="607"/>
      <c r="E584" s="187" t="s">
        <v>248</v>
      </c>
      <c r="F584" s="617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"),19275.9404999999)</f>
        <v>19275.940499999899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07"/>
      <c r="C585" s="607"/>
      <c r="D585" s="607"/>
      <c r="E585" s="617"/>
      <c r="F585" s="617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"),1719)</f>
        <v>1719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07"/>
      <c r="C586" s="607"/>
      <c r="D586" s="607"/>
      <c r="E586" s="187" t="s">
        <v>249</v>
      </c>
      <c r="F586" s="617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"),200.8325)</f>
        <v>200.83250000000001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07"/>
      <c r="C587" s="607"/>
      <c r="D587" s="607"/>
      <c r="E587" s="607"/>
      <c r="F587" s="617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"),18)</f>
        <v>18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07"/>
      <c r="C588" s="607"/>
      <c r="D588" s="187" t="s">
        <v>250</v>
      </c>
      <c r="E588" s="617"/>
      <c r="F588" s="617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"),98)</f>
        <v>98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07"/>
      <c r="C589" s="607"/>
      <c r="D589" s="607"/>
      <c r="E589" s="607"/>
      <c r="F589" s="617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"),28)</f>
        <v>28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07"/>
      <c r="C590" s="607"/>
      <c r="D590" s="187" t="s">
        <v>251</v>
      </c>
      <c r="E590" s="617"/>
      <c r="F590" s="617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89">I593</f>
        <v>78677.899999999994</v>
      </c>
      <c r="J592" s="674">
        <f t="shared" ca="1" si="289"/>
        <v>10038.43</v>
      </c>
      <c r="K592" s="675">
        <f t="shared" ref="K592:K594" ca="1" si="290">IF(I592&gt;0,J592*100/I592,0)</f>
        <v>12.758894174857236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07"/>
      <c r="C593" s="620" t="s">
        <v>253</v>
      </c>
      <c r="D593" s="607"/>
      <c r="E593" s="607"/>
      <c r="F593" s="617"/>
      <c r="G593" s="175"/>
      <c r="H593" s="192" t="s">
        <v>46</v>
      </c>
      <c r="I593" s="702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10038.43</v>
      </c>
      <c r="K593" s="411">
        <f t="shared" ca="1" si="290"/>
        <v>12.758894174857236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07"/>
      <c r="C594" s="607"/>
      <c r="D594" s="607"/>
      <c r="E594" s="617"/>
      <c r="F594" s="617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1183</v>
      </c>
      <c r="K594" s="411">
        <f t="shared" ca="1" si="290"/>
        <v>17.134994206257243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07"/>
      <c r="C595" s="616" t="s">
        <v>254</v>
      </c>
      <c r="D595" s="607"/>
      <c r="E595" s="607"/>
      <c r="F595" s="617"/>
      <c r="G595" s="175"/>
      <c r="H595" s="182" t="s">
        <v>46</v>
      </c>
      <c r="I595" s="162"/>
      <c r="J595" s="162">
        <f t="shared" ref="J595:J596" ca="1" si="292">J597+J599</f>
        <v>9344.86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07"/>
      <c r="C596" s="607"/>
      <c r="D596" s="607"/>
      <c r="E596" s="617"/>
      <c r="F596" s="617"/>
      <c r="G596" s="175"/>
      <c r="H596" s="182" t="s">
        <v>34</v>
      </c>
      <c r="I596" s="162"/>
      <c r="J596" s="162">
        <f t="shared" ca="1" si="292"/>
        <v>1125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07"/>
      <c r="C597" s="607"/>
      <c r="D597" s="263" t="s">
        <v>255</v>
      </c>
      <c r="E597" s="617"/>
      <c r="F597" s="617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"),6351.86)</f>
        <v>6351.86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07"/>
      <c r="C598" s="607"/>
      <c r="D598" s="607"/>
      <c r="E598" s="617"/>
      <c r="F598" s="617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"),869)</f>
        <v>869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07"/>
      <c r="C599" s="607"/>
      <c r="D599" s="263" t="s">
        <v>256</v>
      </c>
      <c r="E599" s="617"/>
      <c r="F599" s="617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"),2993)</f>
        <v>2993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07"/>
      <c r="C600" s="607"/>
      <c r="D600" s="607"/>
      <c r="E600" s="617"/>
      <c r="F600" s="617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"),256)</f>
        <v>256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07"/>
      <c r="C601" s="607"/>
      <c r="D601" s="263" t="s">
        <v>257</v>
      </c>
      <c r="E601" s="617"/>
      <c r="F601" s="617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"),149)</f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07"/>
      <c r="C602" s="607"/>
      <c r="D602" s="607"/>
      <c r="E602" s="617"/>
      <c r="F602" s="617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"),10)</f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07"/>
      <c r="C603" s="703" t="s">
        <v>258</v>
      </c>
      <c r="D603" s="607"/>
      <c r="E603" s="607"/>
      <c r="F603" s="617"/>
      <c r="G603" s="175"/>
      <c r="H603" s="182" t="s">
        <v>46</v>
      </c>
      <c r="I603" s="37"/>
      <c r="J603" s="37">
        <f t="shared" ref="J603:J604" ca="1" si="293">J605+J607</f>
        <v>607.31999999999994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07"/>
      <c r="C604" s="607"/>
      <c r="D604" s="607"/>
      <c r="E604" s="617"/>
      <c r="F604" s="617"/>
      <c r="G604" s="175"/>
      <c r="H604" s="182" t="s">
        <v>34</v>
      </c>
      <c r="I604" s="37"/>
      <c r="J604" s="37">
        <f t="shared" ca="1" si="293"/>
        <v>48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07"/>
      <c r="C605" s="607"/>
      <c r="D605" s="703" t="s">
        <v>259</v>
      </c>
      <c r="E605" s="617"/>
      <c r="F605" s="617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"),274.32)</f>
        <v>274.32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07"/>
      <c r="C606" s="607"/>
      <c r="D606" s="607"/>
      <c r="E606" s="607"/>
      <c r="F606" s="617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"),29)</f>
        <v>29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07"/>
      <c r="C607" s="607"/>
      <c r="D607" s="703" t="s">
        <v>260</v>
      </c>
      <c r="E607" s="607"/>
      <c r="F607" s="617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"),333)</f>
        <v>333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07"/>
      <c r="C608" s="607"/>
      <c r="D608" s="607"/>
      <c r="E608" s="617"/>
      <c r="F608" s="617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"),19)</f>
        <v>19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07"/>
      <c r="C609" s="616" t="s">
        <v>261</v>
      </c>
      <c r="D609" s="607"/>
      <c r="E609" s="607"/>
      <c r="F609" s="617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"),86.25)</f>
        <v>86.25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07"/>
      <c r="C610" s="607"/>
      <c r="D610" s="607"/>
      <c r="E610" s="617"/>
      <c r="F610" s="617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"),10)</f>
        <v>10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674">
        <f>J614+J616</f>
        <v>0</v>
      </c>
      <c r="K611" s="675">
        <f t="shared" ref="K611:K613" si="294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08"/>
      <c r="C612" s="709" t="s">
        <v>263</v>
      </c>
      <c r="D612" s="708"/>
      <c r="E612" s="708"/>
      <c r="F612" s="710"/>
      <c r="G612" s="711"/>
      <c r="H612" s="712" t="s">
        <v>46</v>
      </c>
      <c r="I612" s="713">
        <v>0</v>
      </c>
      <c r="J612" s="714">
        <f t="shared" ref="J612:J613" si="295">J614+J616</f>
        <v>0</v>
      </c>
      <c r="K612" s="715">
        <f t="shared" si="294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08"/>
      <c r="C613" s="717" t="s">
        <v>264</v>
      </c>
      <c r="D613" s="708"/>
      <c r="E613" s="708"/>
      <c r="F613" s="710"/>
      <c r="G613" s="711"/>
      <c r="H613" s="712" t="s">
        <v>34</v>
      </c>
      <c r="I613" s="713">
        <v>0</v>
      </c>
      <c r="J613" s="714">
        <f t="shared" si="295"/>
        <v>0</v>
      </c>
      <c r="K613" s="715">
        <f t="shared" si="294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3"/>
      <c r="C614" s="613"/>
      <c r="D614" s="718" t="s">
        <v>265</v>
      </c>
      <c r="E614" s="613"/>
      <c r="F614" s="599"/>
      <c r="G614" s="366"/>
      <c r="H614" s="370" t="s">
        <v>46</v>
      </c>
      <c r="I614" s="44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3"/>
      <c r="C615" s="613"/>
      <c r="D615" s="613"/>
      <c r="E615" s="613"/>
      <c r="F615" s="599"/>
      <c r="G615" s="366"/>
      <c r="H615" s="370" t="s">
        <v>34</v>
      </c>
      <c r="I615" s="44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3"/>
      <c r="C616" s="613"/>
      <c r="D616" s="719" t="s">
        <v>265</v>
      </c>
      <c r="E616" s="599"/>
      <c r="F616" s="599"/>
      <c r="G616" s="366"/>
      <c r="H616" s="370" t="s">
        <v>46</v>
      </c>
      <c r="I616" s="44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3"/>
      <c r="C617" s="613"/>
      <c r="D617" s="613"/>
      <c r="E617" s="599"/>
      <c r="F617" s="599"/>
      <c r="G617" s="366"/>
      <c r="H617" s="370" t="s">
        <v>34</v>
      </c>
      <c r="I617" s="44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3"/>
      <c r="C618" s="613"/>
      <c r="D618" s="719" t="s">
        <v>266</v>
      </c>
      <c r="E618" s="599"/>
      <c r="F618" s="599"/>
      <c r="G618" s="366"/>
      <c r="H618" s="370" t="s">
        <v>46</v>
      </c>
      <c r="I618" s="44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3"/>
      <c r="C619" s="613"/>
      <c r="D619" s="613"/>
      <c r="E619" s="599"/>
      <c r="F619" s="599"/>
      <c r="G619" s="366"/>
      <c r="H619" s="370" t="s">
        <v>34</v>
      </c>
      <c r="I619" s="44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1"/>
      <c r="C620" s="722" t="s">
        <v>267</v>
      </c>
      <c r="D620" s="721"/>
      <c r="E620" s="721"/>
      <c r="F620" s="723"/>
      <c r="G620" s="724"/>
      <c r="H620" s="725" t="s">
        <v>46</v>
      </c>
      <c r="I620" s="726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"),1588)</f>
        <v>1588</v>
      </c>
      <c r="J620" s="726">
        <f t="shared" ref="J620:J621" ca="1" si="296">J622+J624+J626</f>
        <v>692</v>
      </c>
      <c r="K620" s="727">
        <f t="shared" ref="K620:K621" ca="1" si="297">IF(I620&gt;0,J620*100/I620,0)</f>
        <v>43.576826196473554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1"/>
      <c r="C621" s="729" t="s">
        <v>268</v>
      </c>
      <c r="D621" s="721"/>
      <c r="E621" s="721"/>
      <c r="F621" s="723"/>
      <c r="G621" s="724"/>
      <c r="H621" s="725" t="s">
        <v>34</v>
      </c>
      <c r="I621" s="726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"),126)</f>
        <v>126</v>
      </c>
      <c r="J621" s="726">
        <f t="shared" ca="1" si="296"/>
        <v>69</v>
      </c>
      <c r="K621" s="727">
        <f t="shared" ca="1" si="297"/>
        <v>54.761904761904759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07"/>
      <c r="C622" s="607"/>
      <c r="D622" s="263" t="s">
        <v>269</v>
      </c>
      <c r="E622" s="617"/>
      <c r="F622" s="617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"),408)</f>
        <v>408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07"/>
      <c r="C623" s="607"/>
      <c r="D623" s="607"/>
      <c r="E623" s="617"/>
      <c r="F623" s="617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"),32)</f>
        <v>32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07"/>
      <c r="C624" s="607"/>
      <c r="D624" s="263" t="s">
        <v>265</v>
      </c>
      <c r="E624" s="617"/>
      <c r="F624" s="617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"),275)</f>
        <v>275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07"/>
      <c r="C625" s="607"/>
      <c r="D625" s="607"/>
      <c r="E625" s="617"/>
      <c r="F625" s="617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"),34)</f>
        <v>34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07"/>
      <c r="C626" s="607"/>
      <c r="D626" s="263" t="s">
        <v>270</v>
      </c>
      <c r="E626" s="617"/>
      <c r="F626" s="617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"),9)</f>
        <v>9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"),3)</f>
        <v>3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98">I651</f>
        <v>8730</v>
      </c>
      <c r="J628" s="739">
        <f t="shared" ca="1" si="298"/>
        <v>2827</v>
      </c>
      <c r="K628" s="740">
        <f ca="1">IF(I628&gt;0,J628*100/I628,0)</f>
        <v>32.38258877434135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574"/>
      <c r="C629" s="574" t="s">
        <v>16</v>
      </c>
      <c r="D629" s="860" t="s">
        <v>17</v>
      </c>
      <c r="E629" s="854"/>
      <c r="F629" s="854"/>
      <c r="G629" s="189"/>
      <c r="H629" s="596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ca="1" si="299"/>
        <v>11806445</v>
      </c>
      <c r="N629" s="195">
        <f t="shared" ca="1" si="299"/>
        <v>5682350.4399999902</v>
      </c>
      <c r="O629" s="195">
        <f t="shared" ref="O629:O634" ca="1" si="300">IF(L629&gt;0,N629*100/L629,0)</f>
        <v>48.129224673472756</v>
      </c>
      <c r="P629" s="195">
        <f t="shared" ref="P629:P634" ca="1" si="301">IF(M629&gt;0,N629*100/M629,0)</f>
        <v>48.129224673472756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598"/>
      <c r="C630" s="598"/>
      <c r="D630" s="599"/>
      <c r="E630" s="600" t="s">
        <v>185</v>
      </c>
      <c r="F630" s="598"/>
      <c r="G630" s="601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3"/>
      <c r="C631" s="598"/>
      <c r="D631" s="599"/>
      <c r="E631" s="600" t="s">
        <v>186</v>
      </c>
      <c r="F631" s="598"/>
      <c r="G631" s="601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ca="1" si="303"/>
        <v>11806445</v>
      </c>
      <c r="N631" s="45">
        <f t="shared" ca="1" si="303"/>
        <v>5682350.4399999902</v>
      </c>
      <c r="O631" s="45">
        <f t="shared" ca="1" si="300"/>
        <v>48.129224673472756</v>
      </c>
      <c r="P631" s="45">
        <f t="shared" ca="1" si="301"/>
        <v>48.129224673472756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574"/>
      <c r="D632" s="604" t="s">
        <v>20</v>
      </c>
      <c r="E632" s="574"/>
      <c r="F632" s="574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ca="1" si="304"/>
        <v>11806445</v>
      </c>
      <c r="N632" s="38">
        <f t="shared" ca="1" si="304"/>
        <v>5682350.4399999902</v>
      </c>
      <c r="O632" s="38">
        <f t="shared" ca="1" si="300"/>
        <v>48.129224673472756</v>
      </c>
      <c r="P632" s="38">
        <f t="shared" ca="1" si="301"/>
        <v>48.129224673472756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3"/>
      <c r="C633" s="598"/>
      <c r="D633" s="599"/>
      <c r="E633" s="600" t="s">
        <v>185</v>
      </c>
      <c r="F633" s="598"/>
      <c r="G633" s="601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3"/>
      <c r="C634" s="598"/>
      <c r="D634" s="599"/>
      <c r="E634" s="600" t="s">
        <v>186</v>
      </c>
      <c r="F634" s="598"/>
      <c r="G634" s="601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f ca="1">IFERROR(__xludf.DUMMYFUNCTION("IMPORTRANGE(""https://docs.google.com/spreadsheets/d/1fb2B9NLcpJgjIieIJvenUTNPn0TimZDUi0OtYeiSQ_s/edit?usp=share_link"",""กาฬสินธุ์!M634"")+IMPORTRANGE(""https://docs.google.com/spreadsheets/d/1SaMnqrwRGmFYNR0MhpWmHuL5niYUd5E7vDq8X7whAlI/edit?usp=share_li"&amp;"nk"",""ขอนแก่น!M634"")
+IMPORTRANGE(""https://docs.google.com/spreadsheets/d/1xQzEtGHhTTgxHh6YUkKY1P4dRyjVhS74dGswLfAASA4/edit?usp=share_link"",""ชัยภูมิ!M634"")+IMPORTRANGE(""https://docs.google.com/spreadsheets/d/1EXMBoBxU3OFbjT2TRpneM33qFjqDzrKmn9ydcfl"&amp;"fI0o/edit?usp=share_link"",""นครพนม!M634"")+IMPORTRANGE(""https://docs.google.com/spreadsheets/d/1bDQrolntRWtHumK8W-x-HXKntwxB9S3sF5aDeRS66Ko/edit?usp=share_link"",""นครราชสีมา!M634"")+IMPORTRANGE(""https://docs.google.com/spreadsheets/d/1_MzZ-2gVPiCW-d2V"&amp;"cafoCmFJQTSrZ6SQyFcMqRRQQ2w/edit?usp=share_link"",""บึงกาฬ!M634"")
+IMPORTRANGE(""https://docs.google.com/spreadsheets/d/1B3lPpzOuaNwVItLwLEZYl_qEblfcx7dRnbRkAw0l-pE/edit?usp=share_link"",""บุรีรัมย์!M634"")+IMPORTRANGE(""https://docs.google.com/spreadshe"&amp;"ets/d/19GOkiOqnzYbevLYWrMk4qFOXe3rX14BkSA8X-mq-a40/edit?usp=share_link"",""มหาสารคาม!M634"")+IMPORTRANGE(""https://docs.google.com/spreadsheets/d/1uMKqWwuNQ-TCKboGA3Bb1qXb5uj2-faACNUINCz8PN4/edit?usp=share_link"",""มุกดาหาร!M634"")+IMPORTRANGE(""https://d"&amp;"ocs.google.com/spreadsheets/d/1oKaccgDdQABndOzGr688Dbfxb_V3YcF67VqEPBtdzsc/edit?usp=share_link"",""ยโสธร!M634"")+IMPORTRANGE(""https://docs.google.com/spreadsheets/d/1BRgc8xKpxZ0PX-gauieMVkV_IOxKSotf0yW8MabGprQ/edit?usp=share_link"",""ร้อยเอ็ด!M634"")+IMP"&amp;"ORTRANGE(""https://docs.google.com/spreadsheets/d/1IdolZc-dfdgMwAm_KZxYJl1sUOcIgnbGQzbWOlddedo/edit?usp=share_link"",""เลย!M634"")+IMPORTRANGE(""https://docs.google.com/spreadsheets/d/1tZ0nmtGuIRCaGAMXHlQU8EpR9LOAJvyKfc4f7EFmE34/edit?usp=share_link"",""ศร"&amp;"ีสะเกษ!M634"")+IMPORTRANGE(""https://docs.google.com/spreadsheets/d/1QC8psz9w0f9IVE9Xuc2FT_btkaOzZbbUSgYObpBuetM/edit?usp=share_link"",""สกลนคร!M634"")+IMPORTRANGE(""https://docs.google.com/spreadsheets/d/1wPdvRbu02d33MYVlbsCnyTiZpefEBs9NNktAnT1HZvw/edit?"&amp;"usp=share_link"",""สุรินทร์!M634"")+IMPORTRANGE(""https://docs.google.com/spreadsheets/d/1GVExpf-Exi_2gmuqTYH28fseTB9MoKPXWcXCbSt_YrM/edit?usp=share_link"",""หนองคาย!M634"")+IMPORTRANGE(""https://docs.google.com/spreadsheets/d/16UeMz0UgOB5BZcoxP75eYGcLFtG"&amp;"YRn9GoesD4OX9m5U/edit?usp=share_link"",""หนองบัวลำภู!M634"")+IMPORTRANGE(""https://docs.google.com/spreadsheets/d/1uUP8Zo1-qaJLuIkRU0qlwLSE3DHkbdrrj2JGJiWBQZE/edit?usp=share_link"",""อำนาจเจริญ!M634"")+IMPORTRANGE(""https://docs.google.com/spreadsheets/d/"&amp;"1hb_taSOHanzRjqfzWPiFo8yiT83VV1L7vvUCLhOiHKc/edit?usp=share_link"",""อุดรธานี!M634"")+IMPORTRANGE(""https://docs.google.com/spreadsheets/d/17IOkEwkUd63EGNfyNDnM5de9YlZ7rwzTiW6-dokVjKI/edit?usp=share_link"",""อุบลราชธานี!M634"")
"),11806445)</f>
        <v>11806445</v>
      </c>
      <c r="N634" s="45">
        <f ca="1">N635+N636+N637+N638</f>
        <v>5682350.4399999902</v>
      </c>
      <c r="O634" s="45">
        <f t="shared" ca="1" si="300"/>
        <v>48.129224673472756</v>
      </c>
      <c r="P634" s="45">
        <f t="shared" ca="1" si="301"/>
        <v>48.129224673472756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574"/>
      <c r="D635" s="574"/>
      <c r="E635" s="574"/>
      <c r="F635" s="575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574"/>
      <c r="D636" s="574"/>
      <c r="E636" s="574"/>
      <c r="F636" s="575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"),51855)</f>
        <v>51855</v>
      </c>
      <c r="O636" s="38"/>
      <c r="P636" s="38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574"/>
      <c r="D637" s="574"/>
      <c r="E637" s="574"/>
      <c r="F637" s="575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"),1546260.3)</f>
        <v>1546260.3</v>
      </c>
      <c r="O637" s="38"/>
      <c r="P637" s="38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574"/>
      <c r="D638" s="574"/>
      <c r="E638" s="574"/>
      <c r="F638" s="575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"),4084235.13999999)</f>
        <v>4084235.1399999899</v>
      </c>
      <c r="O638" s="38"/>
      <c r="P638" s="38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574"/>
      <c r="D639" s="604" t="s">
        <v>21</v>
      </c>
      <c r="E639" s="574"/>
      <c r="F639" s="574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3"/>
      <c r="C640" s="598"/>
      <c r="D640" s="598"/>
      <c r="E640" s="600" t="s">
        <v>18</v>
      </c>
      <c r="F640" s="598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3"/>
      <c r="C641" s="598"/>
      <c r="D641" s="598"/>
      <c r="E641" s="600" t="s">
        <v>19</v>
      </c>
      <c r="F641" s="598"/>
      <c r="G641" s="601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07"/>
      <c r="C642" s="574" t="s">
        <v>16</v>
      </c>
      <c r="D642" s="677" t="s">
        <v>38</v>
      </c>
      <c r="E642" s="610"/>
      <c r="F642" s="610"/>
      <c r="G642" s="611"/>
      <c r="H642" s="175"/>
      <c r="I642" s="162"/>
      <c r="J642" s="162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574"/>
      <c r="D643" s="617"/>
      <c r="E643" s="743" t="s">
        <v>272</v>
      </c>
      <c r="F643" s="617"/>
      <c r="G643" s="175"/>
      <c r="H643" s="448" t="s">
        <v>273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"),7)</f>
        <v>7</v>
      </c>
      <c r="K643" s="163">
        <f t="shared" ref="K643:K652" ca="1" si="308">IF(I643&gt;0,J643*100/I643,0)</f>
        <v>100</v>
      </c>
      <c r="L643" s="163"/>
      <c r="M643" s="163"/>
      <c r="N643" s="38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574"/>
      <c r="D644" s="617"/>
      <c r="E644" s="743" t="s">
        <v>274</v>
      </c>
      <c r="F644" s="617"/>
      <c r="G644" s="175"/>
      <c r="H644" s="448" t="s">
        <v>275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"),7)</f>
        <v>7</v>
      </c>
      <c r="K644" s="163">
        <f t="shared" ca="1" si="308"/>
        <v>100</v>
      </c>
      <c r="L644" s="163"/>
      <c r="M644" s="163"/>
      <c r="N644" s="38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574"/>
      <c r="D645" s="617"/>
      <c r="E645" s="744" t="s">
        <v>276</v>
      </c>
      <c r="F645" s="617"/>
      <c r="G645" s="175"/>
      <c r="H645" s="182" t="s">
        <v>34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"),5008)</f>
        <v>5008</v>
      </c>
      <c r="K645" s="163">
        <f t="shared" si="308"/>
        <v>0</v>
      </c>
      <c r="L645" s="163"/>
      <c r="M645" s="163"/>
      <c r="N645" s="38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574"/>
      <c r="D646" s="617"/>
      <c r="E646" s="617"/>
      <c r="F646" s="617"/>
      <c r="G646" s="175"/>
      <c r="H646" s="182" t="s">
        <v>46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"),3075.54999999999)</f>
        <v>3075.5499999999902</v>
      </c>
      <c r="K646" s="38">
        <f t="shared" si="308"/>
        <v>0</v>
      </c>
      <c r="L646" s="163"/>
      <c r="M646" s="163"/>
      <c r="N646" s="38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574"/>
      <c r="D647" s="617"/>
      <c r="E647" s="263" t="s">
        <v>162</v>
      </c>
      <c r="F647" s="617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"),5925)</f>
        <v>5925</v>
      </c>
      <c r="K647" s="163">
        <f t="shared" ca="1" si="308"/>
        <v>67.869415807560131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574"/>
      <c r="D648" s="617"/>
      <c r="E648" s="617"/>
      <c r="F648" s="617"/>
      <c r="G648" s="175"/>
      <c r="H648" s="182" t="s">
        <v>46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"),3407.22)</f>
        <v>3407.22</v>
      </c>
      <c r="K648" s="38">
        <f t="shared" si="308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574"/>
      <c r="D649" s="617"/>
      <c r="E649" s="263" t="s">
        <v>277</v>
      </c>
      <c r="F649" s="617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"),5103)</f>
        <v>5103</v>
      </c>
      <c r="K649" s="163">
        <f t="shared" ca="1" si="308"/>
        <v>58.453608247422679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574"/>
      <c r="D650" s="617"/>
      <c r="E650" s="617"/>
      <c r="F650" s="617"/>
      <c r="G650" s="175"/>
      <c r="H650" s="182" t="s">
        <v>46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"),2897.65)</f>
        <v>2897.65</v>
      </c>
      <c r="K650" s="38">
        <f t="shared" si="308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574"/>
      <c r="D651" s="617"/>
      <c r="E651" s="263" t="s">
        <v>278</v>
      </c>
      <c r="F651" s="617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"),2827)</f>
        <v>2827</v>
      </c>
      <c r="K651" s="163">
        <f t="shared" ca="1" si="308"/>
        <v>32.38258877434135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383">
        <v>0</v>
      </c>
      <c r="J652" s="504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"),1604.94)</f>
        <v>1604.94</v>
      </c>
      <c r="K652" s="505">
        <f t="shared" si="308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674">
        <f t="shared" ref="I654:J654" ca="1" si="309">I669</f>
        <v>1370</v>
      </c>
      <c r="J654" s="674">
        <f t="shared" ca="1" si="309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574"/>
      <c r="C655" s="574" t="s">
        <v>16</v>
      </c>
      <c r="D655" s="860" t="s">
        <v>17</v>
      </c>
      <c r="E655" s="854"/>
      <c r="F655" s="854"/>
      <c r="G655" s="189"/>
      <c r="H655" s="596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ca="1" si="310"/>
        <v>194200</v>
      </c>
      <c r="N655" s="195">
        <f t="shared" ca="1" si="310"/>
        <v>129209</v>
      </c>
      <c r="O655" s="195">
        <f t="shared" ref="O655:O660" ca="1" si="311">IF(L655&gt;0,N655*100/L655,0)</f>
        <v>66.533985581874362</v>
      </c>
      <c r="P655" s="195">
        <f t="shared" ref="P655:P660" ca="1" si="312">IF(M655&gt;0,N655*100/M655,0)</f>
        <v>66.533985581874362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598"/>
      <c r="C656" s="598"/>
      <c r="D656" s="599"/>
      <c r="E656" s="600" t="s">
        <v>185</v>
      </c>
      <c r="F656" s="598"/>
      <c r="G656" s="601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3"/>
      <c r="C657" s="598"/>
      <c r="D657" s="599"/>
      <c r="E657" s="600" t="s">
        <v>186</v>
      </c>
      <c r="F657" s="598"/>
      <c r="G657" s="601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ca="1" si="314"/>
        <v>194200</v>
      </c>
      <c r="N657" s="45">
        <f t="shared" ca="1" si="314"/>
        <v>129209</v>
      </c>
      <c r="O657" s="45">
        <f t="shared" ca="1" si="311"/>
        <v>66.533985581874362</v>
      </c>
      <c r="P657" s="45">
        <f t="shared" ca="1" si="312"/>
        <v>66.533985581874362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574"/>
      <c r="D658" s="604" t="s">
        <v>20</v>
      </c>
      <c r="E658" s="574"/>
      <c r="F658" s="574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ca="1" si="315"/>
        <v>194200</v>
      </c>
      <c r="N658" s="38">
        <f t="shared" ca="1" si="315"/>
        <v>129209</v>
      </c>
      <c r="O658" s="38">
        <f t="shared" ca="1" si="311"/>
        <v>66.533985581874362</v>
      </c>
      <c r="P658" s="38">
        <f t="shared" ca="1" si="312"/>
        <v>66.533985581874362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3"/>
      <c r="C659" s="598"/>
      <c r="D659" s="599"/>
      <c r="E659" s="600" t="s">
        <v>185</v>
      </c>
      <c r="F659" s="598"/>
      <c r="G659" s="601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3"/>
      <c r="C660" s="598"/>
      <c r="D660" s="599"/>
      <c r="E660" s="600" t="s">
        <v>186</v>
      </c>
      <c r="F660" s="598"/>
      <c r="G660" s="601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f ca="1">IFERROR(__xludf.DUMMYFUNCTION("IMPORTRANGE(""https://docs.google.com/spreadsheets/d/1fb2B9NLcpJgjIieIJvenUTNPn0TimZDUi0OtYeiSQ_s/edit?usp=share_link"",""กาฬสินธุ์!M660"")+IMPORTRANGE(""https://docs.google.com/spreadsheets/d/1SaMnqrwRGmFYNR0MhpWmHuL5niYUd5E7vDq8X7whAlI/edit?usp=share_li"&amp;"nk"",""ขอนแก่น!M660"")
+IMPORTRANGE(""https://docs.google.com/spreadsheets/d/1xQzEtGHhTTgxHh6YUkKY1P4dRyjVhS74dGswLfAASA4/edit?usp=share_link"",""ชัยภูมิ!M660"")+IMPORTRANGE(""https://docs.google.com/spreadsheets/d/1EXMBoBxU3OFbjT2TRpneM33qFjqDzrKmn9ydcfl"&amp;"fI0o/edit?usp=share_link"",""นครพนม!M660"")+IMPORTRANGE(""https://docs.google.com/spreadsheets/d/1bDQrolntRWtHumK8W-x-HXKntwxB9S3sF5aDeRS66Ko/edit?usp=share_link"",""นครราชสีมา!M660"")+IMPORTRANGE(""https://docs.google.com/spreadsheets/d/1_MzZ-2gVPiCW-d2V"&amp;"cafoCmFJQTSrZ6SQyFcMqRRQQ2w/edit?usp=share_link"",""บึงกาฬ!M660"")
+IMPORTRANGE(""https://docs.google.com/spreadsheets/d/1B3lPpzOuaNwVItLwLEZYl_qEblfcx7dRnbRkAw0l-pE/edit?usp=share_link"",""บุรีรัมย์!M660"")+IMPORTRANGE(""https://docs.google.com/spreadshe"&amp;"ets/d/19GOkiOqnzYbevLYWrMk4qFOXe3rX14BkSA8X-mq-a40/edit?usp=share_link"",""มหาสารคาม!M660"")+IMPORTRANGE(""https://docs.google.com/spreadsheets/d/1uMKqWwuNQ-TCKboGA3Bb1qXb5uj2-faACNUINCz8PN4/edit?usp=share_link"",""มุกดาหาร!M660"")+IMPORTRANGE(""https://d"&amp;"ocs.google.com/spreadsheets/d/1oKaccgDdQABndOzGr688Dbfxb_V3YcF67VqEPBtdzsc/edit?usp=share_link"",""ยโสธร!M660"")+IMPORTRANGE(""https://docs.google.com/spreadsheets/d/1BRgc8xKpxZ0PX-gauieMVkV_IOxKSotf0yW8MabGprQ/edit?usp=share_link"",""ร้อยเอ็ด!M660"")+IMP"&amp;"ORTRANGE(""https://docs.google.com/spreadsheets/d/1IdolZc-dfdgMwAm_KZxYJl1sUOcIgnbGQzbWOlddedo/edit?usp=share_link"",""เลย!M660"")+IMPORTRANGE(""https://docs.google.com/spreadsheets/d/1tZ0nmtGuIRCaGAMXHlQU8EpR9LOAJvyKfc4f7EFmE34/edit?usp=share_link"",""ศร"&amp;"ีสะเกษ!M660"")+IMPORTRANGE(""https://docs.google.com/spreadsheets/d/1QC8psz9w0f9IVE9Xuc2FT_btkaOzZbbUSgYObpBuetM/edit?usp=share_link"",""สกลนคร!M660"")+IMPORTRANGE(""https://docs.google.com/spreadsheets/d/1wPdvRbu02d33MYVlbsCnyTiZpefEBs9NNktAnT1HZvw/edit?"&amp;"usp=share_link"",""สุรินทร์!M660"")+IMPORTRANGE(""https://docs.google.com/spreadsheets/d/1GVExpf-Exi_2gmuqTYH28fseTB9MoKPXWcXCbSt_YrM/edit?usp=share_link"",""หนองคาย!M660"")+IMPORTRANGE(""https://docs.google.com/spreadsheets/d/16UeMz0UgOB5BZcoxP75eYGcLFtG"&amp;"YRn9GoesD4OX9m5U/edit?usp=share_link"",""หนองบัวลำภู!M660"")+IMPORTRANGE(""https://docs.google.com/spreadsheets/d/1uUP8Zo1-qaJLuIkRU0qlwLSE3DHkbdrrj2JGJiWBQZE/edit?usp=share_link"",""อำนาจเจริญ!M660"")+IMPORTRANGE(""https://docs.google.com/spreadsheets/d/"&amp;"1hb_taSOHanzRjqfzWPiFo8yiT83VV1L7vvUCLhOiHKc/edit?usp=share_link"",""อุดรธานี!M660"")+IMPORTRANGE(""https://docs.google.com/spreadsheets/d/17IOkEwkUd63EGNfyNDnM5de9YlZ7rwzTiW6-dokVjKI/edit?usp=share_link"",""อุบลราชธานี!M660"")
"),194200)</f>
        <v>194200</v>
      </c>
      <c r="N660" s="45">
        <f ca="1">N661+N662+N663+N664</f>
        <v>129209</v>
      </c>
      <c r="O660" s="45">
        <f t="shared" ca="1" si="311"/>
        <v>66.533985581874362</v>
      </c>
      <c r="P660" s="45">
        <f t="shared" ca="1" si="312"/>
        <v>66.533985581874362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574"/>
      <c r="D661" s="574"/>
      <c r="E661" s="574"/>
      <c r="F661" s="575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574"/>
      <c r="D662" s="574"/>
      <c r="E662" s="574"/>
      <c r="F662" s="575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"),0)</f>
        <v>0</v>
      </c>
      <c r="O662" s="38"/>
      <c r="P662" s="38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574"/>
      <c r="E663" s="574"/>
      <c r="F663" s="575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"),2000)</f>
        <v>2000</v>
      </c>
      <c r="O663" s="38"/>
      <c r="P663" s="38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574"/>
      <c r="F664" s="575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"),127209)</f>
        <v>127209</v>
      </c>
      <c r="O664" s="38"/>
      <c r="P664" s="38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574"/>
      <c r="F665" s="574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3"/>
      <c r="C666" s="603"/>
      <c r="D666" s="603"/>
      <c r="E666" s="600" t="s">
        <v>18</v>
      </c>
      <c r="F666" s="598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3"/>
      <c r="C667" s="603"/>
      <c r="D667" s="603"/>
      <c r="E667" s="600" t="s">
        <v>19</v>
      </c>
      <c r="F667" s="598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07"/>
      <c r="C668" s="573" t="s">
        <v>16</v>
      </c>
      <c r="D668" s="608" t="s">
        <v>38</v>
      </c>
      <c r="E668" s="610"/>
      <c r="F668" s="610"/>
      <c r="G668" s="611"/>
      <c r="H668" s="175"/>
      <c r="I668" s="162"/>
      <c r="J668" s="162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07"/>
      <c r="C669" s="607"/>
      <c r="D669" s="616" t="s">
        <v>281</v>
      </c>
      <c r="E669" s="617"/>
      <c r="F669" s="617"/>
      <c r="G669" s="175"/>
      <c r="H669" s="750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07"/>
      <c r="C670" s="607"/>
      <c r="D670" s="607"/>
      <c r="E670" s="187" t="s">
        <v>282</v>
      </c>
      <c r="F670" s="617"/>
      <c r="G670" s="175"/>
      <c r="H670" s="448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"),70)</f>
        <v>70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07"/>
      <c r="C671" s="607"/>
      <c r="D671" s="607"/>
      <c r="E671" s="187" t="s">
        <v>283</v>
      </c>
      <c r="F671" s="617"/>
      <c r="G671" s="175"/>
      <c r="H671" s="448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"),70)</f>
        <v>70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07"/>
      <c r="C672" s="607"/>
      <c r="D672" s="607"/>
      <c r="E672" s="187" t="s">
        <v>284</v>
      </c>
      <c r="F672" s="617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"),4465.38)</f>
        <v>4465.38</v>
      </c>
      <c r="K672" s="38">
        <f t="shared" ref="K672:K675" ca="1" si="319">IF(I$669&gt;0,J672*100/I$669,0)</f>
        <v>325.94014598540144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07"/>
      <c r="C673" s="607"/>
      <c r="D673" s="607"/>
      <c r="E673" s="187" t="s">
        <v>285</v>
      </c>
      <c r="F673" s="617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"),2580.23)</f>
        <v>2580.23</v>
      </c>
      <c r="K673" s="38">
        <f t="shared" ca="1" si="319"/>
        <v>188.33795620437957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07"/>
      <c r="C674" s="607"/>
      <c r="D674" s="607"/>
      <c r="E674" s="187" t="s">
        <v>286</v>
      </c>
      <c r="F674" s="617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"),753)</f>
        <v>753</v>
      </c>
      <c r="K674" s="38">
        <f t="shared" ca="1" si="319"/>
        <v>54.963503649635037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07"/>
      <c r="C675" s="607"/>
      <c r="D675" s="607"/>
      <c r="E675" s="187" t="s">
        <v>287</v>
      </c>
      <c r="F675" s="617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07"/>
      <c r="C676" s="607"/>
      <c r="D676" s="607"/>
      <c r="E676" s="61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"),0)</f>
        <v>0</v>
      </c>
      <c r="K676" s="38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07"/>
      <c r="C677" s="607"/>
      <c r="D677" s="607"/>
      <c r="E677" s="61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"),0)</f>
        <v>0</v>
      </c>
      <c r="K677" s="38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07"/>
      <c r="C678" s="607"/>
      <c r="D678" s="616" t="s">
        <v>290</v>
      </c>
      <c r="E678" s="617"/>
      <c r="F678" s="617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07"/>
      <c r="C679" s="607"/>
      <c r="D679" s="607"/>
      <c r="E679" s="187" t="s">
        <v>291</v>
      </c>
      <c r="F679" s="617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07"/>
      <c r="C680" s="607"/>
      <c r="D680" s="607"/>
      <c r="E680" s="61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07"/>
      <c r="C681" s="607"/>
      <c r="D681" s="607"/>
      <c r="E681" s="61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"),0)</f>
        <v>0</v>
      </c>
      <c r="K681" s="38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07"/>
      <c r="C682" s="607"/>
      <c r="D682" s="607"/>
      <c r="E682" s="187" t="s">
        <v>292</v>
      </c>
      <c r="F682" s="617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07"/>
      <c r="C683" s="607"/>
      <c r="D683" s="607"/>
      <c r="E683" s="61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574"/>
      <c r="C685" s="574" t="s">
        <v>16</v>
      </c>
      <c r="D685" s="860" t="s">
        <v>17</v>
      </c>
      <c r="E685" s="854"/>
      <c r="F685" s="854"/>
      <c r="G685" s="189"/>
      <c r="H685" s="596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ca="1" si="320"/>
        <v>346040</v>
      </c>
      <c r="N685" s="195">
        <f t="shared" ca="1" si="320"/>
        <v>105904</v>
      </c>
      <c r="O685" s="195">
        <f t="shared" ref="O685:O688" ca="1" si="321">IF(L685&gt;0,N685*100/L685,0)</f>
        <v>30.604554386776094</v>
      </c>
      <c r="P685" s="195">
        <f t="shared" ref="P685:P688" ca="1" si="322">IF(M685&gt;0,N685*100/M685,0)</f>
        <v>30.604554386776094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598"/>
      <c r="C686" s="598"/>
      <c r="D686" s="599"/>
      <c r="E686" s="600" t="s">
        <v>185</v>
      </c>
      <c r="F686" s="598"/>
      <c r="G686" s="601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3"/>
      <c r="C687" s="598"/>
      <c r="D687" s="599"/>
      <c r="E687" s="600" t="s">
        <v>186</v>
      </c>
      <c r="F687" s="598"/>
      <c r="G687" s="601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ca="1" si="324"/>
        <v>346040</v>
      </c>
      <c r="N687" s="45">
        <f t="shared" ca="1" si="324"/>
        <v>105904</v>
      </c>
      <c r="O687" s="45">
        <f t="shared" ca="1" si="321"/>
        <v>30.604554386776094</v>
      </c>
      <c r="P687" s="45">
        <f t="shared" ca="1" si="322"/>
        <v>30.604554386776094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574"/>
      <c r="D688" s="604" t="s">
        <v>20</v>
      </c>
      <c r="E688" s="574"/>
      <c r="F688" s="574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ca="1" si="325"/>
        <v>346040</v>
      </c>
      <c r="N688" s="38">
        <f t="shared" ca="1" si="325"/>
        <v>105904</v>
      </c>
      <c r="O688" s="38">
        <f t="shared" ca="1" si="321"/>
        <v>30.604554386776094</v>
      </c>
      <c r="P688" s="38">
        <f t="shared" ca="1" si="322"/>
        <v>30.604554386776094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3"/>
      <c r="C689" s="598"/>
      <c r="D689" s="599"/>
      <c r="E689" s="600" t="s">
        <v>185</v>
      </c>
      <c r="F689" s="598"/>
      <c r="G689" s="601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3"/>
      <c r="C690" s="598"/>
      <c r="D690" s="599"/>
      <c r="E690" s="600" t="s">
        <v>186</v>
      </c>
      <c r="F690" s="598"/>
      <c r="G690" s="601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f ca="1">IFERROR(__xludf.DUMMYFUNCTION("IMPORTRANGE(""https://docs.google.com/spreadsheets/d/1fb2B9NLcpJgjIieIJvenUTNPn0TimZDUi0OtYeiSQ_s/edit?usp=share_link"",""กาฬสินธุ์!M690"")+IMPORTRANGE(""https://docs.google.com/spreadsheets/d/1SaMnqrwRGmFYNR0MhpWmHuL5niYUd5E7vDq8X7whAlI/edit?usp=share_li"&amp;"nk"",""ขอนแก่น!M690"")
+IMPORTRANGE(""https://docs.google.com/spreadsheets/d/1xQzEtGHhTTgxHh6YUkKY1P4dRyjVhS74dGswLfAASA4/edit?usp=share_link"",""ชัยภูมิ!M690"")+IMPORTRANGE(""https://docs.google.com/spreadsheets/d/1EXMBoBxU3OFbjT2TRpneM33qFjqDzrKmn9ydcfl"&amp;"fI0o/edit?usp=share_link"",""นครพนม!M690"")+IMPORTRANGE(""https://docs.google.com/spreadsheets/d/1bDQrolntRWtHumK8W-x-HXKntwxB9S3sF5aDeRS66Ko/edit?usp=share_link"",""นครราชสีมา!M690"")+IMPORTRANGE(""https://docs.google.com/spreadsheets/d/1_MzZ-2gVPiCW-d2V"&amp;"cafoCmFJQTSrZ6SQyFcMqRRQQ2w/edit?usp=share_link"",""บึงกาฬ!M690"")
+IMPORTRANGE(""https://docs.google.com/spreadsheets/d/1B3lPpzOuaNwVItLwLEZYl_qEblfcx7dRnbRkAw0l-pE/edit?usp=share_link"",""บุรีรัมย์!M690"")+IMPORTRANGE(""https://docs.google.com/spreadshe"&amp;"ets/d/19GOkiOqnzYbevLYWrMk4qFOXe3rX14BkSA8X-mq-a40/edit?usp=share_link"",""มหาสารคาม!M690"")+IMPORTRANGE(""https://docs.google.com/spreadsheets/d/1uMKqWwuNQ-TCKboGA3Bb1qXb5uj2-faACNUINCz8PN4/edit?usp=share_link"",""มุกดาหาร!M690"")+IMPORTRANGE(""https://d"&amp;"ocs.google.com/spreadsheets/d/1oKaccgDdQABndOzGr688Dbfxb_V3YcF67VqEPBtdzsc/edit?usp=share_link"",""ยโสธร!M690"")+IMPORTRANGE(""https://docs.google.com/spreadsheets/d/1BRgc8xKpxZ0PX-gauieMVkV_IOxKSotf0yW8MabGprQ/edit?usp=share_link"",""ร้อยเอ็ด!M690"")+IMP"&amp;"ORTRANGE(""https://docs.google.com/spreadsheets/d/1IdolZc-dfdgMwAm_KZxYJl1sUOcIgnbGQzbWOlddedo/edit?usp=share_link"",""เลย!M690"")+IMPORTRANGE(""https://docs.google.com/spreadsheets/d/1tZ0nmtGuIRCaGAMXHlQU8EpR9LOAJvyKfc4f7EFmE34/edit?usp=share_link"",""ศร"&amp;"ีสะเกษ!M690"")+IMPORTRANGE(""https://docs.google.com/spreadsheets/d/1QC8psz9w0f9IVE9Xuc2FT_btkaOzZbbUSgYObpBuetM/edit?usp=share_link"",""สกลนคร!M690"")+IMPORTRANGE(""https://docs.google.com/spreadsheets/d/1wPdvRbu02d33MYVlbsCnyTiZpefEBs9NNktAnT1HZvw/edit?"&amp;"usp=share_link"",""สุรินทร์!M690"")+IMPORTRANGE(""https://docs.google.com/spreadsheets/d/1GVExpf-Exi_2gmuqTYH28fseTB9MoKPXWcXCbSt_YrM/edit?usp=share_link"",""หนองคาย!M690"")+IMPORTRANGE(""https://docs.google.com/spreadsheets/d/16UeMz0UgOB5BZcoxP75eYGcLFtG"&amp;"YRn9GoesD4OX9m5U/edit?usp=share_link"",""หนองบัวลำภู!M690"")+IMPORTRANGE(""https://docs.google.com/spreadsheets/d/1uUP8Zo1-qaJLuIkRU0qlwLSE3DHkbdrrj2JGJiWBQZE/edit?usp=share_link"",""อำนาจเจริญ!M690"")+IMPORTRANGE(""https://docs.google.com/spreadsheets/d/"&amp;"1hb_taSOHanzRjqfzWPiFo8yiT83VV1L7vvUCLhOiHKc/edit?usp=share_link"",""อุดรธานี!M690"")+IMPORTRANGE(""https://docs.google.com/spreadsheets/d/17IOkEwkUd63EGNfyNDnM5de9YlZ7rwzTiW6-dokVjKI/edit?usp=share_link"",""อุบลราชธานี!M690"")
"),346040)</f>
        <v>346040</v>
      </c>
      <c r="N690" s="45">
        <f ca="1">N691+N692+N693+N694</f>
        <v>105904</v>
      </c>
      <c r="O690" s="45">
        <f ca="1">IF(L690&gt;0,N690*100/L690,0)</f>
        <v>30.604554386776094</v>
      </c>
      <c r="P690" s="45">
        <f ca="1">IF(M690&gt;0,N690*100/M690,0)</f>
        <v>30.604554386776094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574"/>
      <c r="D691" s="574"/>
      <c r="E691" s="574"/>
      <c r="F691" s="575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"),360)</f>
        <v>360</v>
      </c>
      <c r="O691" s="38"/>
      <c r="P691" s="38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574"/>
      <c r="D692" s="574"/>
      <c r="E692" s="574"/>
      <c r="F692" s="575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574"/>
      <c r="D693" s="574"/>
      <c r="E693" s="574"/>
      <c r="F693" s="575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574"/>
      <c r="D694" s="574"/>
      <c r="E694" s="574"/>
      <c r="F694" s="575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"),105544)</f>
        <v>105544</v>
      </c>
      <c r="O694" s="38"/>
      <c r="P694" s="38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574"/>
      <c r="D695" s="756" t="s">
        <v>21</v>
      </c>
      <c r="E695" s="574"/>
      <c r="F695" s="574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3"/>
      <c r="C696" s="598"/>
      <c r="D696" s="598"/>
      <c r="E696" s="757" t="s">
        <v>18</v>
      </c>
      <c r="F696" s="598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3"/>
      <c r="C697" s="598"/>
      <c r="D697" s="598"/>
      <c r="E697" s="757" t="s">
        <v>19</v>
      </c>
      <c r="F697" s="598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07"/>
      <c r="C698" s="574" t="s">
        <v>16</v>
      </c>
      <c r="D698" s="758" t="s">
        <v>38</v>
      </c>
      <c r="E698" s="759"/>
      <c r="F698" s="610"/>
      <c r="G698" s="611"/>
      <c r="H698" s="760"/>
      <c r="I698" s="162"/>
      <c r="J698" s="162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574"/>
      <c r="C699" s="574"/>
      <c r="D699" s="575" t="s">
        <v>295</v>
      </c>
      <c r="E699" s="761"/>
      <c r="F699" s="574"/>
      <c r="G699" s="189"/>
      <c r="H699" s="762" t="s">
        <v>46</v>
      </c>
      <c r="I699" s="763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"),362.21)</f>
        <v>362.21</v>
      </c>
      <c r="K699" s="38">
        <f t="shared" ref="K699:K701" ca="1" si="329">IF(I699&gt;0,J699*100/I699,0)</f>
        <v>43.171632896305127</v>
      </c>
      <c r="L699" s="38"/>
      <c r="M699" s="189"/>
      <c r="N699" s="764"/>
      <c r="O699" s="38"/>
      <c r="P699" s="38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574"/>
      <c r="C700" s="574"/>
      <c r="D700" s="575" t="s">
        <v>296</v>
      </c>
      <c r="E700" s="574"/>
      <c r="F700" s="574"/>
      <c r="G700" s="189"/>
      <c r="H700" s="762" t="s">
        <v>35</v>
      </c>
      <c r="I700" s="763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"),97)</f>
        <v>97</v>
      </c>
      <c r="K700" s="38">
        <f t="shared" ca="1" si="329"/>
        <v>45.971563981042657</v>
      </c>
      <c r="L700" s="38"/>
      <c r="M700" s="189"/>
      <c r="N700" s="764"/>
      <c r="O700" s="38"/>
      <c r="P700" s="38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574"/>
      <c r="C701" s="574"/>
      <c r="D701" s="575" t="s">
        <v>297</v>
      </c>
      <c r="E701" s="574"/>
      <c r="F701" s="574"/>
      <c r="G701" s="189"/>
      <c r="H701" s="765" t="s">
        <v>46</v>
      </c>
      <c r="I701" s="766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237.95</v>
      </c>
      <c r="K701" s="195">
        <f t="shared" ca="1" si="329"/>
        <v>13.110192837465565</v>
      </c>
      <c r="L701" s="38"/>
      <c r="M701" s="189"/>
      <c r="N701" s="764"/>
      <c r="O701" s="38"/>
      <c r="P701" s="38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574"/>
      <c r="C702" s="574"/>
      <c r="D702" s="574"/>
      <c r="E702" s="575" t="s">
        <v>298</v>
      </c>
      <c r="F702" s="574"/>
      <c r="G702" s="189"/>
      <c r="H702" s="182" t="s">
        <v>35</v>
      </c>
      <c r="I702" s="763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"),11)</f>
        <v>11</v>
      </c>
      <c r="K702" s="38"/>
      <c r="L702" s="38"/>
      <c r="M702" s="189"/>
      <c r="N702" s="764"/>
      <c r="O702" s="38"/>
      <c r="P702" s="38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574"/>
      <c r="C703" s="574"/>
      <c r="D703" s="574"/>
      <c r="E703" s="574"/>
      <c r="F703" s="574"/>
      <c r="G703" s="189"/>
      <c r="H703" s="182" t="s">
        <v>34</v>
      </c>
      <c r="I703" s="763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"),17)</f>
        <v>17</v>
      </c>
      <c r="K703" s="38"/>
      <c r="L703" s="38"/>
      <c r="M703" s="189"/>
      <c r="N703" s="764"/>
      <c r="O703" s="38"/>
      <c r="P703" s="38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574"/>
      <c r="C704" s="574"/>
      <c r="D704" s="574"/>
      <c r="E704" s="574"/>
      <c r="F704" s="574"/>
      <c r="G704" s="189"/>
      <c r="H704" s="182" t="s">
        <v>46</v>
      </c>
      <c r="I704" s="763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"),137.95)</f>
        <v>137.94999999999999</v>
      </c>
      <c r="K704" s="38"/>
      <c r="L704" s="38"/>
      <c r="M704" s="189"/>
      <c r="N704" s="764"/>
      <c r="O704" s="38"/>
      <c r="P704" s="38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574"/>
      <c r="C705" s="574"/>
      <c r="D705" s="574"/>
      <c r="E705" s="575" t="s">
        <v>299</v>
      </c>
      <c r="F705" s="574"/>
      <c r="G705" s="189"/>
      <c r="H705" s="182" t="s">
        <v>35</v>
      </c>
      <c r="I705" s="763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"),10)</f>
        <v>10</v>
      </c>
      <c r="K705" s="38"/>
      <c r="L705" s="38"/>
      <c r="M705" s="189"/>
      <c r="N705" s="764"/>
      <c r="O705" s="38"/>
      <c r="P705" s="38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574"/>
      <c r="C706" s="574"/>
      <c r="D706" s="574"/>
      <c r="E706" s="574"/>
      <c r="F706" s="574"/>
      <c r="G706" s="189"/>
      <c r="H706" s="182" t="s">
        <v>34</v>
      </c>
      <c r="I706" s="763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"),10)</f>
        <v>10</v>
      </c>
      <c r="K706" s="38"/>
      <c r="L706" s="38"/>
      <c r="M706" s="189"/>
      <c r="N706" s="764"/>
      <c r="O706" s="38"/>
      <c r="P706" s="38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574"/>
      <c r="C707" s="574"/>
      <c r="D707" s="574"/>
      <c r="E707" s="574"/>
      <c r="F707" s="574"/>
      <c r="G707" s="189"/>
      <c r="H707" s="182" t="s">
        <v>46</v>
      </c>
      <c r="I707" s="763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"),100)</f>
        <v>100</v>
      </c>
      <c r="K707" s="38"/>
      <c r="L707" s="38"/>
      <c r="M707" s="189"/>
      <c r="N707" s="764"/>
      <c r="O707" s="38"/>
      <c r="P707" s="38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574"/>
      <c r="C708" s="574"/>
      <c r="D708" s="767" t="s">
        <v>300</v>
      </c>
      <c r="E708" s="574"/>
      <c r="F708" s="574"/>
      <c r="G708" s="189"/>
      <c r="H708" s="192" t="s">
        <v>46</v>
      </c>
      <c r="I708" s="766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379</v>
      </c>
      <c r="K708" s="195">
        <f ca="1">IF(I708&gt;0,J708*100/I708,0)</f>
        <v>82.570806100217865</v>
      </c>
      <c r="L708" s="38"/>
      <c r="M708" s="189"/>
      <c r="N708" s="764"/>
      <c r="O708" s="38"/>
      <c r="P708" s="38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574"/>
      <c r="C709" s="574"/>
      <c r="D709" s="574"/>
      <c r="E709" s="575" t="s">
        <v>301</v>
      </c>
      <c r="F709" s="574"/>
      <c r="G709" s="189"/>
      <c r="H709" s="182" t="s">
        <v>34</v>
      </c>
      <c r="I709" s="763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"),3)</f>
        <v>3</v>
      </c>
      <c r="K709" s="38"/>
      <c r="L709" s="764"/>
      <c r="M709" s="189"/>
      <c r="N709" s="764"/>
      <c r="O709" s="38"/>
      <c r="P709" s="38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574"/>
      <c r="C710" s="574"/>
      <c r="D710" s="574"/>
      <c r="E710" s="574"/>
      <c r="F710" s="574"/>
      <c r="G710" s="189"/>
      <c r="H710" s="182" t="s">
        <v>46</v>
      </c>
      <c r="I710" s="763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"),59)</f>
        <v>59</v>
      </c>
      <c r="K710" s="38"/>
      <c r="L710" s="764"/>
      <c r="M710" s="189"/>
      <c r="N710" s="764"/>
      <c r="O710" s="38"/>
      <c r="P710" s="38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574"/>
      <c r="C711" s="574"/>
      <c r="D711" s="574"/>
      <c r="E711" s="575" t="s">
        <v>302</v>
      </c>
      <c r="F711" s="574"/>
      <c r="G711" s="189"/>
      <c r="H711" s="175"/>
      <c r="I711" s="763"/>
      <c r="J711" s="37"/>
      <c r="K711" s="38"/>
      <c r="L711" s="764"/>
      <c r="M711" s="189"/>
      <c r="N711" s="764"/>
      <c r="O711" s="38"/>
      <c r="P711" s="38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574"/>
      <c r="C712" s="574"/>
      <c r="D712" s="574"/>
      <c r="E712" s="574"/>
      <c r="F712" s="575" t="s">
        <v>303</v>
      </c>
      <c r="G712" s="189"/>
      <c r="H712" s="182" t="s">
        <v>35</v>
      </c>
      <c r="I712" s="763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"),26)</f>
        <v>26</v>
      </c>
      <c r="K712" s="38"/>
      <c r="L712" s="764"/>
      <c r="M712" s="189"/>
      <c r="N712" s="764"/>
      <c r="O712" s="38"/>
      <c r="P712" s="38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574"/>
      <c r="C713" s="574"/>
      <c r="D713" s="574"/>
      <c r="E713" s="574"/>
      <c r="F713" s="574"/>
      <c r="G713" s="189"/>
      <c r="H713" s="182" t="s">
        <v>34</v>
      </c>
      <c r="I713" s="763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"),26)</f>
        <v>26</v>
      </c>
      <c r="K713" s="38"/>
      <c r="L713" s="764"/>
      <c r="M713" s="189"/>
      <c r="N713" s="764"/>
      <c r="O713" s="38"/>
      <c r="P713" s="38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574"/>
      <c r="C714" s="574"/>
      <c r="D714" s="574"/>
      <c r="E714" s="574"/>
      <c r="F714" s="574"/>
      <c r="G714" s="189"/>
      <c r="H714" s="182" t="s">
        <v>46</v>
      </c>
      <c r="I714" s="763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"),379)</f>
        <v>379</v>
      </c>
      <c r="K714" s="38"/>
      <c r="L714" s="764"/>
      <c r="M714" s="189"/>
      <c r="N714" s="764"/>
      <c r="O714" s="38"/>
      <c r="P714" s="38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574"/>
      <c r="C715" s="574"/>
      <c r="D715" s="574"/>
      <c r="E715" s="574"/>
      <c r="F715" s="575" t="s">
        <v>304</v>
      </c>
      <c r="G715" s="189"/>
      <c r="H715" s="182" t="s">
        <v>35</v>
      </c>
      <c r="I715" s="763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64"/>
      <c r="M715" s="189"/>
      <c r="N715" s="764"/>
      <c r="O715" s="38"/>
      <c r="P715" s="38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574"/>
      <c r="C716" s="574"/>
      <c r="D716" s="574"/>
      <c r="E716" s="574"/>
      <c r="F716" s="574"/>
      <c r="G716" s="189"/>
      <c r="H716" s="182" t="s">
        <v>34</v>
      </c>
      <c r="I716" s="763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64"/>
      <c r="M716" s="189"/>
      <c r="N716" s="764"/>
      <c r="O716" s="38"/>
      <c r="P716" s="38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574"/>
      <c r="C717" s="574"/>
      <c r="D717" s="574"/>
      <c r="E717" s="574"/>
      <c r="F717" s="574"/>
      <c r="G717" s="189"/>
      <c r="H717" s="182" t="s">
        <v>46</v>
      </c>
      <c r="I717" s="763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64"/>
      <c r="M717" s="189"/>
      <c r="N717" s="764"/>
      <c r="O717" s="38"/>
      <c r="P717" s="38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574"/>
      <c r="C718" s="574"/>
      <c r="D718" s="575" t="s">
        <v>305</v>
      </c>
      <c r="E718" s="574"/>
      <c r="F718" s="574"/>
      <c r="G718" s="189"/>
      <c r="H718" s="182" t="s">
        <v>35</v>
      </c>
      <c r="I718" s="763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"),8)</f>
        <v>8</v>
      </c>
      <c r="K718" s="38"/>
      <c r="L718" s="38"/>
      <c r="M718" s="189"/>
      <c r="N718" s="764"/>
      <c r="O718" s="38"/>
      <c r="P718" s="38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574"/>
      <c r="C719" s="574"/>
      <c r="D719" s="574"/>
      <c r="E719" s="574"/>
      <c r="F719" s="574"/>
      <c r="G719" s="189"/>
      <c r="H719" s="182" t="s">
        <v>34</v>
      </c>
      <c r="I719" s="763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"),8)</f>
        <v>8</v>
      </c>
      <c r="K719" s="38"/>
      <c r="L719" s="764"/>
      <c r="M719" s="189"/>
      <c r="N719" s="764"/>
      <c r="O719" s="38"/>
      <c r="P719" s="38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574"/>
      <c r="C720" s="574"/>
      <c r="D720" s="574"/>
      <c r="E720" s="574"/>
      <c r="F720" s="574"/>
      <c r="G720" s="189"/>
      <c r="H720" s="182" t="s">
        <v>46</v>
      </c>
      <c r="I720" s="763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"),79.83)</f>
        <v>79.83</v>
      </c>
      <c r="K720" s="38">
        <f t="shared" ref="K720:K723" ca="1" si="330">IF(I720&gt;0,J720*100/I720,0)</f>
        <v>23.901197604790418</v>
      </c>
      <c r="L720" s="764"/>
      <c r="M720" s="189"/>
      <c r="N720" s="764"/>
      <c r="O720" s="38"/>
      <c r="P720" s="38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574"/>
      <c r="C721" s="574"/>
      <c r="D721" s="575" t="s">
        <v>306</v>
      </c>
      <c r="E721" s="574"/>
      <c r="F721" s="574"/>
      <c r="G721" s="189"/>
      <c r="H721" s="750" t="s">
        <v>35</v>
      </c>
      <c r="I721" s="766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6</v>
      </c>
      <c r="K721" s="195">
        <f t="shared" ca="1" si="330"/>
        <v>5.9405940594059405</v>
      </c>
      <c r="L721" s="764"/>
      <c r="M721" s="189"/>
      <c r="N721" s="764"/>
      <c r="O721" s="38"/>
      <c r="P721" s="38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574"/>
      <c r="C722" s="574"/>
      <c r="D722" s="574"/>
      <c r="E722" s="575"/>
      <c r="F722" s="574"/>
      <c r="G722" s="189"/>
      <c r="H722" s="750" t="s">
        <v>46</v>
      </c>
      <c r="I722" s="766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65.599999999999994</v>
      </c>
      <c r="K722" s="195">
        <f t="shared" ca="1" si="330"/>
        <v>6.096654275092936</v>
      </c>
      <c r="L722" s="38"/>
      <c r="M722" s="189"/>
      <c r="N722" s="764"/>
      <c r="O722" s="38"/>
      <c r="P722" s="38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574"/>
      <c r="C723" s="574"/>
      <c r="D723" s="574"/>
      <c r="E723" s="575" t="s">
        <v>307</v>
      </c>
      <c r="F723" s="574"/>
      <c r="G723" s="189"/>
      <c r="H723" s="182" t="s">
        <v>35</v>
      </c>
      <c r="I723" s="763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"),6)</f>
        <v>6</v>
      </c>
      <c r="K723" s="38">
        <f t="shared" ca="1" si="330"/>
        <v>6.0606060606060606</v>
      </c>
      <c r="L723" s="38"/>
      <c r="M723" s="189"/>
      <c r="N723" s="764"/>
      <c r="O723" s="38"/>
      <c r="P723" s="38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574"/>
      <c r="C724" s="574"/>
      <c r="D724" s="574"/>
      <c r="E724" s="574"/>
      <c r="F724" s="574"/>
      <c r="G724" s="189"/>
      <c r="H724" s="182" t="s">
        <v>34</v>
      </c>
      <c r="I724" s="763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"),7)</f>
        <v>7</v>
      </c>
      <c r="K724" s="38"/>
      <c r="L724" s="764"/>
      <c r="M724" s="189"/>
      <c r="N724" s="764"/>
      <c r="O724" s="38"/>
      <c r="P724" s="38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574"/>
      <c r="C725" s="574"/>
      <c r="D725" s="574"/>
      <c r="E725" s="574"/>
      <c r="F725" s="574"/>
      <c r="G725" s="189"/>
      <c r="H725" s="182" t="s">
        <v>46</v>
      </c>
      <c r="I725" s="763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"),65.6)</f>
        <v>65.599999999999994</v>
      </c>
      <c r="K725" s="38">
        <f t="shared" ref="K725:K726" ca="1" si="331">IF(I725&gt;0,J725*100/I725,0)</f>
        <v>6.212121212121211</v>
      </c>
      <c r="L725" s="764"/>
      <c r="M725" s="189"/>
      <c r="N725" s="764"/>
      <c r="O725" s="38"/>
      <c r="P725" s="38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574"/>
      <c r="C726" s="574"/>
      <c r="D726" s="574"/>
      <c r="E726" s="575" t="s">
        <v>308</v>
      </c>
      <c r="F726" s="574"/>
      <c r="G726" s="189"/>
      <c r="H726" s="182" t="s">
        <v>35</v>
      </c>
      <c r="I726" s="763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64"/>
      <c r="O726" s="38"/>
      <c r="P726" s="38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574"/>
      <c r="C727" s="574"/>
      <c r="D727" s="574"/>
      <c r="E727" s="574"/>
      <c r="F727" s="574"/>
      <c r="G727" s="189"/>
      <c r="H727" s="182" t="s">
        <v>34</v>
      </c>
      <c r="I727" s="763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64"/>
      <c r="M727" s="189"/>
      <c r="N727" s="764"/>
      <c r="O727" s="38"/>
      <c r="P727" s="38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574"/>
      <c r="C728" s="574"/>
      <c r="D728" s="574"/>
      <c r="E728" s="574"/>
      <c r="F728" s="574"/>
      <c r="G728" s="189"/>
      <c r="H728" s="182" t="s">
        <v>46</v>
      </c>
      <c r="I728" s="763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64"/>
      <c r="M728" s="189"/>
      <c r="N728" s="764"/>
      <c r="O728" s="38"/>
      <c r="P728" s="38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574"/>
      <c r="C729" s="574"/>
      <c r="D729" s="575" t="s">
        <v>309</v>
      </c>
      <c r="E729" s="574"/>
      <c r="F729" s="574"/>
      <c r="G729" s="189"/>
      <c r="H729" s="192" t="s">
        <v>46</v>
      </c>
      <c r="I729" s="766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707</v>
      </c>
      <c r="K729" s="195">
        <f t="shared" ca="1" si="332"/>
        <v>46.452036793692507</v>
      </c>
      <c r="L729" s="38"/>
      <c r="M729" s="189"/>
      <c r="N729" s="764"/>
      <c r="O729" s="38"/>
      <c r="P729" s="38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574"/>
      <c r="C730" s="574"/>
      <c r="D730" s="574"/>
      <c r="E730" s="575" t="s">
        <v>310</v>
      </c>
      <c r="F730" s="574"/>
      <c r="G730" s="189"/>
      <c r="H730" s="182" t="s">
        <v>35</v>
      </c>
      <c r="I730" s="763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"),0)</f>
        <v>0</v>
      </c>
      <c r="K730" s="38"/>
      <c r="L730" s="764"/>
      <c r="M730" s="38"/>
      <c r="N730" s="764"/>
      <c r="O730" s="38"/>
      <c r="P730" s="38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574"/>
      <c r="C731" s="574"/>
      <c r="D731" s="574"/>
      <c r="E731" s="574"/>
      <c r="F731" s="574"/>
      <c r="G731" s="189"/>
      <c r="H731" s="182" t="s">
        <v>34</v>
      </c>
      <c r="I731" s="763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"),0)</f>
        <v>0</v>
      </c>
      <c r="K731" s="38"/>
      <c r="L731" s="764"/>
      <c r="M731" s="38"/>
      <c r="N731" s="764"/>
      <c r="O731" s="38"/>
      <c r="P731" s="38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574"/>
      <c r="C732" s="574"/>
      <c r="D732" s="574"/>
      <c r="E732" s="574"/>
      <c r="F732" s="574"/>
      <c r="G732" s="189"/>
      <c r="H732" s="182" t="s">
        <v>46</v>
      </c>
      <c r="I732" s="763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"),0)</f>
        <v>0</v>
      </c>
      <c r="K732" s="38"/>
      <c r="L732" s="764"/>
      <c r="M732" s="38"/>
      <c r="N732" s="764"/>
      <c r="O732" s="38"/>
      <c r="P732" s="38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574"/>
      <c r="C733" s="574"/>
      <c r="D733" s="574"/>
      <c r="E733" s="575" t="s">
        <v>311</v>
      </c>
      <c r="F733" s="574"/>
      <c r="G733" s="189"/>
      <c r="H733" s="182" t="s">
        <v>35</v>
      </c>
      <c r="I733" s="763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"),81)</f>
        <v>81</v>
      </c>
      <c r="K733" s="38"/>
      <c r="L733" s="764"/>
      <c r="M733" s="38"/>
      <c r="N733" s="764"/>
      <c r="O733" s="38"/>
      <c r="P733" s="38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574"/>
      <c r="C734" s="574"/>
      <c r="D734" s="574"/>
      <c r="E734" s="574"/>
      <c r="F734" s="574"/>
      <c r="G734" s="189"/>
      <c r="H734" s="182" t="s">
        <v>34</v>
      </c>
      <c r="I734" s="763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"),95)</f>
        <v>95</v>
      </c>
      <c r="K734" s="38"/>
      <c r="L734" s="764"/>
      <c r="M734" s="38"/>
      <c r="N734" s="764"/>
      <c r="O734" s="38"/>
      <c r="P734" s="38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"),707)</f>
        <v>707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598"/>
      <c r="C737" s="598" t="s">
        <v>16</v>
      </c>
      <c r="D737" s="861" t="s">
        <v>17</v>
      </c>
      <c r="E737" s="854"/>
      <c r="F737" s="854"/>
      <c r="G737" s="601"/>
      <c r="H737" s="644" t="s">
        <v>12</v>
      </c>
      <c r="I737" s="44"/>
      <c r="J737" s="44"/>
      <c r="K737" s="45"/>
      <c r="L737" s="645">
        <f t="shared" ref="L737:N737" si="333">L738+L739</f>
        <v>0</v>
      </c>
      <c r="M737" s="645">
        <f t="shared" si="333"/>
        <v>0</v>
      </c>
      <c r="N737" s="645">
        <f t="shared" si="333"/>
        <v>0</v>
      </c>
      <c r="O737" s="645">
        <f t="shared" ref="O737:O742" si="334">IF(L737&gt;0,N737*100/L737,0)</f>
        <v>0</v>
      </c>
      <c r="P737" s="645">
        <f t="shared" ref="P737:P742" si="33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598"/>
      <c r="C738" s="598"/>
      <c r="D738" s="599"/>
      <c r="E738" s="600" t="s">
        <v>185</v>
      </c>
      <c r="F738" s="598"/>
      <c r="G738" s="601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3"/>
      <c r="C739" s="598"/>
      <c r="D739" s="599"/>
      <c r="E739" s="600" t="s">
        <v>186</v>
      </c>
      <c r="F739" s="598"/>
      <c r="G739" s="601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3"/>
      <c r="C740" s="598"/>
      <c r="D740" s="780" t="s">
        <v>20</v>
      </c>
      <c r="E740" s="598"/>
      <c r="F740" s="598"/>
      <c r="G740" s="601"/>
      <c r="H740" s="644" t="s">
        <v>12</v>
      </c>
      <c r="I740" s="166"/>
      <c r="J740" s="166"/>
      <c r="K740" s="167"/>
      <c r="L740" s="645">
        <f t="shared" ref="L740:N740" si="338">L741+L742</f>
        <v>0</v>
      </c>
      <c r="M740" s="645">
        <f t="shared" si="338"/>
        <v>0</v>
      </c>
      <c r="N740" s="645">
        <f t="shared" si="338"/>
        <v>0</v>
      </c>
      <c r="O740" s="645">
        <f t="shared" si="334"/>
        <v>0</v>
      </c>
      <c r="P740" s="645">
        <f t="shared" si="33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3"/>
      <c r="C741" s="598"/>
      <c r="D741" s="599"/>
      <c r="E741" s="600" t="s">
        <v>185</v>
      </c>
      <c r="F741" s="598"/>
      <c r="G741" s="601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3"/>
      <c r="C742" s="598"/>
      <c r="D742" s="599"/>
      <c r="E742" s="600" t="s">
        <v>186</v>
      </c>
      <c r="F742" s="598"/>
      <c r="G742" s="601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3"/>
      <c r="C743" s="598"/>
      <c r="D743" s="598"/>
      <c r="E743" s="598"/>
      <c r="F743" s="600" t="s">
        <v>187</v>
      </c>
      <c r="G743" s="601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3"/>
      <c r="C744" s="598"/>
      <c r="D744" s="598"/>
      <c r="E744" s="598"/>
      <c r="F744" s="600" t="s">
        <v>188</v>
      </c>
      <c r="G744" s="601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3"/>
      <c r="C745" s="598"/>
      <c r="D745" s="598"/>
      <c r="E745" s="598"/>
      <c r="F745" s="600" t="s">
        <v>189</v>
      </c>
      <c r="G745" s="601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3"/>
      <c r="C746" s="598"/>
      <c r="D746" s="598"/>
      <c r="E746" s="598"/>
      <c r="F746" s="600" t="s">
        <v>190</v>
      </c>
      <c r="G746" s="601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3"/>
      <c r="C747" s="598"/>
      <c r="D747" s="780" t="s">
        <v>21</v>
      </c>
      <c r="E747" s="598"/>
      <c r="F747" s="598"/>
      <c r="G747" s="601"/>
      <c r="H747" s="781" t="s">
        <v>12</v>
      </c>
      <c r="I747" s="166"/>
      <c r="J747" s="166"/>
      <c r="K747" s="167"/>
      <c r="L747" s="645">
        <f t="shared" ref="L747:N747" si="339">L748+L749</f>
        <v>0</v>
      </c>
      <c r="M747" s="645">
        <f t="shared" si="339"/>
        <v>0</v>
      </c>
      <c r="N747" s="645">
        <f t="shared" si="339"/>
        <v>0</v>
      </c>
      <c r="O747" s="645">
        <f t="shared" ref="O747:O749" si="340">IF(L747&gt;0,N747*100/L747,0)</f>
        <v>0</v>
      </c>
      <c r="P747" s="645">
        <f t="shared" ref="P747:P749" si="34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3"/>
      <c r="C748" s="598"/>
      <c r="D748" s="598"/>
      <c r="E748" s="600" t="s">
        <v>18</v>
      </c>
      <c r="F748" s="598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3"/>
      <c r="C749" s="598"/>
      <c r="D749" s="598"/>
      <c r="E749" s="600" t="s">
        <v>19</v>
      </c>
      <c r="F749" s="598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3"/>
      <c r="C750" s="598" t="s">
        <v>16</v>
      </c>
      <c r="D750" s="782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3"/>
      <c r="C751" s="598"/>
      <c r="D751" s="598"/>
      <c r="E751" s="600" t="s">
        <v>314</v>
      </c>
      <c r="F751" s="598"/>
      <c r="G751" s="601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3"/>
      <c r="C752" s="598"/>
      <c r="D752" s="598"/>
      <c r="E752" s="598"/>
      <c r="F752" s="598"/>
      <c r="G752" s="601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598"/>
      <c r="C754" s="598" t="s">
        <v>16</v>
      </c>
      <c r="D754" s="861" t="s">
        <v>17</v>
      </c>
      <c r="E754" s="854"/>
      <c r="F754" s="854"/>
      <c r="G754" s="601"/>
      <c r="H754" s="644" t="s">
        <v>12</v>
      </c>
      <c r="I754" s="44"/>
      <c r="J754" s="44"/>
      <c r="K754" s="45"/>
      <c r="L754" s="645">
        <f t="shared" ref="L754:N754" si="342">L755+L756</f>
        <v>0</v>
      </c>
      <c r="M754" s="645">
        <f t="shared" si="342"/>
        <v>0</v>
      </c>
      <c r="N754" s="645">
        <f t="shared" si="342"/>
        <v>0</v>
      </c>
      <c r="O754" s="645">
        <f t="shared" ref="O754:O759" si="343">IF(L754&gt;0,N754*100/L754,0)</f>
        <v>0</v>
      </c>
      <c r="P754" s="645">
        <f t="shared" ref="P754:P759" si="34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598"/>
      <c r="C755" s="598"/>
      <c r="D755" s="599"/>
      <c r="E755" s="600" t="s">
        <v>185</v>
      </c>
      <c r="F755" s="598"/>
      <c r="G755" s="601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3"/>
      <c r="C756" s="598"/>
      <c r="D756" s="599"/>
      <c r="E756" s="600" t="s">
        <v>186</v>
      </c>
      <c r="F756" s="598"/>
      <c r="G756" s="601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3"/>
      <c r="C757" s="598"/>
      <c r="D757" s="780" t="s">
        <v>20</v>
      </c>
      <c r="E757" s="598"/>
      <c r="F757" s="598"/>
      <c r="G757" s="601"/>
      <c r="H757" s="644" t="s">
        <v>12</v>
      </c>
      <c r="I757" s="166"/>
      <c r="J757" s="166"/>
      <c r="K757" s="167"/>
      <c r="L757" s="645">
        <f t="shared" ref="L757:N757" si="347">L758+L759</f>
        <v>0</v>
      </c>
      <c r="M757" s="645">
        <f t="shared" si="347"/>
        <v>0</v>
      </c>
      <c r="N757" s="645">
        <f t="shared" si="347"/>
        <v>0</v>
      </c>
      <c r="O757" s="645">
        <f t="shared" si="343"/>
        <v>0</v>
      </c>
      <c r="P757" s="645">
        <f t="shared" si="34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3"/>
      <c r="C758" s="598"/>
      <c r="D758" s="599"/>
      <c r="E758" s="600" t="s">
        <v>185</v>
      </c>
      <c r="F758" s="598"/>
      <c r="G758" s="601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3"/>
      <c r="C759" s="598"/>
      <c r="D759" s="599"/>
      <c r="E759" s="600" t="s">
        <v>186</v>
      </c>
      <c r="F759" s="598"/>
      <c r="G759" s="601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3"/>
      <c r="C760" s="598"/>
      <c r="D760" s="598"/>
      <c r="E760" s="598"/>
      <c r="F760" s="600" t="s">
        <v>187</v>
      </c>
      <c r="G760" s="601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3"/>
      <c r="C761" s="598"/>
      <c r="D761" s="598"/>
      <c r="E761" s="598"/>
      <c r="F761" s="600" t="s">
        <v>188</v>
      </c>
      <c r="G761" s="601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3"/>
      <c r="C762" s="598"/>
      <c r="D762" s="598"/>
      <c r="E762" s="598"/>
      <c r="F762" s="600" t="s">
        <v>189</v>
      </c>
      <c r="G762" s="601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3"/>
      <c r="C763" s="598"/>
      <c r="D763" s="598"/>
      <c r="E763" s="598"/>
      <c r="F763" s="600" t="s">
        <v>190</v>
      </c>
      <c r="G763" s="601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3"/>
      <c r="C764" s="598"/>
      <c r="D764" s="780" t="s">
        <v>21</v>
      </c>
      <c r="E764" s="598"/>
      <c r="F764" s="598"/>
      <c r="G764" s="601"/>
      <c r="H764" s="781" t="s">
        <v>12</v>
      </c>
      <c r="I764" s="166"/>
      <c r="J764" s="166"/>
      <c r="K764" s="167"/>
      <c r="L764" s="645">
        <f t="shared" ref="L764:N764" si="348">L765+L766</f>
        <v>0</v>
      </c>
      <c r="M764" s="645">
        <f t="shared" si="348"/>
        <v>0</v>
      </c>
      <c r="N764" s="645">
        <f t="shared" si="348"/>
        <v>0</v>
      </c>
      <c r="O764" s="645">
        <f t="shared" ref="O764:O766" si="349">IF(L764&gt;0,N764*100/L764,0)</f>
        <v>0</v>
      </c>
      <c r="P764" s="645">
        <f t="shared" ref="P764:P766" si="350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3"/>
      <c r="C765" s="598"/>
      <c r="D765" s="598"/>
      <c r="E765" s="600" t="s">
        <v>18</v>
      </c>
      <c r="F765" s="598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3"/>
      <c r="C766" s="598"/>
      <c r="D766" s="598"/>
      <c r="E766" s="600" t="s">
        <v>19</v>
      </c>
      <c r="F766" s="598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3"/>
      <c r="C767" s="598" t="s">
        <v>16</v>
      </c>
      <c r="D767" s="782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3"/>
      <c r="C768" s="598"/>
      <c r="D768" s="598"/>
      <c r="E768" s="600" t="s">
        <v>317</v>
      </c>
      <c r="F768" s="598"/>
      <c r="G768" s="601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598"/>
      <c r="C770" s="598" t="s">
        <v>16</v>
      </c>
      <c r="D770" s="861" t="s">
        <v>17</v>
      </c>
      <c r="E770" s="854"/>
      <c r="F770" s="854"/>
      <c r="G770" s="601"/>
      <c r="H770" s="644" t="s">
        <v>12</v>
      </c>
      <c r="I770" s="44"/>
      <c r="J770" s="44"/>
      <c r="K770" s="45"/>
      <c r="L770" s="645">
        <f t="shared" ref="L770:N770" si="351">L771+L772</f>
        <v>0</v>
      </c>
      <c r="M770" s="645">
        <f t="shared" si="351"/>
        <v>0</v>
      </c>
      <c r="N770" s="645">
        <f t="shared" si="351"/>
        <v>0</v>
      </c>
      <c r="O770" s="645">
        <f t="shared" ref="O770:O775" si="352">IF(L770&gt;0,N770*100/L770,0)</f>
        <v>0</v>
      </c>
      <c r="P770" s="645">
        <f t="shared" ref="P770:P775" si="353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598"/>
      <c r="C771" s="598"/>
      <c r="D771" s="599"/>
      <c r="E771" s="600" t="s">
        <v>185</v>
      </c>
      <c r="F771" s="598"/>
      <c r="G771" s="601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3"/>
      <c r="C772" s="598"/>
      <c r="D772" s="599"/>
      <c r="E772" s="600" t="s">
        <v>186</v>
      </c>
      <c r="F772" s="598"/>
      <c r="G772" s="601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3"/>
      <c r="C773" s="598"/>
      <c r="D773" s="780" t="s">
        <v>20</v>
      </c>
      <c r="E773" s="598"/>
      <c r="F773" s="598"/>
      <c r="G773" s="601"/>
      <c r="H773" s="644" t="s">
        <v>12</v>
      </c>
      <c r="I773" s="166"/>
      <c r="J773" s="166"/>
      <c r="K773" s="167"/>
      <c r="L773" s="645">
        <f t="shared" ref="L773:N773" si="356">L774+L775</f>
        <v>0</v>
      </c>
      <c r="M773" s="645">
        <f t="shared" si="356"/>
        <v>0</v>
      </c>
      <c r="N773" s="645">
        <f t="shared" si="356"/>
        <v>0</v>
      </c>
      <c r="O773" s="645">
        <f t="shared" si="352"/>
        <v>0</v>
      </c>
      <c r="P773" s="645">
        <f t="shared" si="353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3"/>
      <c r="C774" s="598"/>
      <c r="D774" s="599"/>
      <c r="E774" s="600" t="s">
        <v>185</v>
      </c>
      <c r="F774" s="598"/>
      <c r="G774" s="601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3"/>
      <c r="C775" s="598"/>
      <c r="D775" s="599"/>
      <c r="E775" s="600" t="s">
        <v>186</v>
      </c>
      <c r="F775" s="598"/>
      <c r="G775" s="601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3"/>
      <c r="C776" s="598"/>
      <c r="D776" s="598"/>
      <c r="E776" s="598"/>
      <c r="F776" s="600" t="s">
        <v>187</v>
      </c>
      <c r="G776" s="601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3"/>
      <c r="C777" s="598"/>
      <c r="D777" s="598"/>
      <c r="E777" s="598"/>
      <c r="F777" s="600" t="s">
        <v>188</v>
      </c>
      <c r="G777" s="601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3"/>
      <c r="C778" s="598"/>
      <c r="D778" s="598"/>
      <c r="E778" s="598"/>
      <c r="F778" s="600" t="s">
        <v>189</v>
      </c>
      <c r="G778" s="601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3"/>
      <c r="C779" s="598"/>
      <c r="D779" s="598"/>
      <c r="E779" s="598"/>
      <c r="F779" s="600" t="s">
        <v>190</v>
      </c>
      <c r="G779" s="601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3"/>
      <c r="C780" s="598"/>
      <c r="D780" s="780" t="s">
        <v>21</v>
      </c>
      <c r="E780" s="598"/>
      <c r="F780" s="598"/>
      <c r="G780" s="601"/>
      <c r="H780" s="781" t="s">
        <v>12</v>
      </c>
      <c r="I780" s="166"/>
      <c r="J780" s="166"/>
      <c r="K780" s="167"/>
      <c r="L780" s="645">
        <f t="shared" ref="L780:N780" si="357">L781+L782</f>
        <v>0</v>
      </c>
      <c r="M780" s="645">
        <f t="shared" si="357"/>
        <v>0</v>
      </c>
      <c r="N780" s="645">
        <f t="shared" si="357"/>
        <v>0</v>
      </c>
      <c r="O780" s="645">
        <f t="shared" ref="O780:O782" si="358">IF(L780&gt;0,N780*100/L780,0)</f>
        <v>0</v>
      </c>
      <c r="P780" s="645">
        <f t="shared" ref="P780:P782" si="359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3"/>
      <c r="C781" s="598"/>
      <c r="D781" s="598"/>
      <c r="E781" s="600" t="s">
        <v>18</v>
      </c>
      <c r="F781" s="598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3"/>
      <c r="C782" s="598"/>
      <c r="D782" s="598"/>
      <c r="E782" s="600" t="s">
        <v>19</v>
      </c>
      <c r="F782" s="598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3"/>
      <c r="C783" s="598" t="s">
        <v>16</v>
      </c>
      <c r="D783" s="782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3"/>
      <c r="C784" s="598"/>
      <c r="D784" s="598"/>
      <c r="E784" s="600" t="s">
        <v>319</v>
      </c>
      <c r="F784" s="598"/>
      <c r="G784" s="601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60">I801+I803</f>
        <v>47000</v>
      </c>
      <c r="J785" s="805">
        <f t="shared" ca="1" si="360"/>
        <v>31800</v>
      </c>
      <c r="K785" s="806">
        <f ca="1">IF(I785&gt;0,J785*100/I785,0)</f>
        <v>67.659574468085111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574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61">L787+L788</f>
        <v>2156480</v>
      </c>
      <c r="M786" s="195">
        <f t="shared" ca="1" si="361"/>
        <v>2156480</v>
      </c>
      <c r="N786" s="195">
        <f t="shared" ca="1" si="361"/>
        <v>1242504.46</v>
      </c>
      <c r="O786" s="195">
        <f t="shared" ref="O786:O791" ca="1" si="362">IF(L786&gt;0,N786*100/L786,0)</f>
        <v>57.617249406440123</v>
      </c>
      <c r="P786" s="195">
        <f t="shared" ref="P786:P791" ca="1" si="363">IF(M786&gt;0,N786*100/M786,0)</f>
        <v>57.617249406440123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3"/>
      <c r="C787" s="598"/>
      <c r="D787" s="599"/>
      <c r="E787" s="600" t="s">
        <v>185</v>
      </c>
      <c r="F787" s="598"/>
      <c r="G787" s="601"/>
      <c r="H787" s="811" t="s">
        <v>12</v>
      </c>
      <c r="I787" s="809"/>
      <c r="J787" s="809"/>
      <c r="K787" s="810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3"/>
      <c r="C788" s="603"/>
      <c r="D788" s="613"/>
      <c r="E788" s="600" t="s">
        <v>186</v>
      </c>
      <c r="F788" s="598"/>
      <c r="G788" s="601"/>
      <c r="H788" s="811" t="s">
        <v>12</v>
      </c>
      <c r="I788" s="809"/>
      <c r="J788" s="809"/>
      <c r="K788" s="810"/>
      <c r="L788" s="45">
        <f t="shared" ref="L788:N788" ca="1" si="365">L791+L798</f>
        <v>2156480</v>
      </c>
      <c r="M788" s="45">
        <f t="shared" ca="1" si="365"/>
        <v>2156480</v>
      </c>
      <c r="N788" s="45">
        <f t="shared" ca="1" si="365"/>
        <v>1242504.46</v>
      </c>
      <c r="O788" s="45">
        <f t="shared" ca="1" si="362"/>
        <v>57.617249406440123</v>
      </c>
      <c r="P788" s="45">
        <f t="shared" ca="1" si="363"/>
        <v>57.617249406440123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574"/>
      <c r="F789" s="574"/>
      <c r="G789" s="189"/>
      <c r="H789" s="812" t="s">
        <v>12</v>
      </c>
      <c r="I789" s="813"/>
      <c r="J789" s="813"/>
      <c r="K789" s="814"/>
      <c r="L789" s="38">
        <f t="shared" ref="L789:N789" ca="1" si="366">L790+L791</f>
        <v>2156480</v>
      </c>
      <c r="M789" s="38">
        <f t="shared" ca="1" si="366"/>
        <v>2156480</v>
      </c>
      <c r="N789" s="38">
        <f t="shared" ca="1" si="366"/>
        <v>1242504.46</v>
      </c>
      <c r="O789" s="38">
        <f t="shared" ca="1" si="362"/>
        <v>57.617249406440123</v>
      </c>
      <c r="P789" s="38">
        <f t="shared" ca="1" si="363"/>
        <v>57.617249406440123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3"/>
      <c r="C790" s="603"/>
      <c r="D790" s="613"/>
      <c r="E790" s="600" t="s">
        <v>185</v>
      </c>
      <c r="F790" s="598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3"/>
      <c r="C791" s="603"/>
      <c r="D791" s="613"/>
      <c r="E791" s="600" t="s">
        <v>186</v>
      </c>
      <c r="F791" s="598"/>
      <c r="G791" s="601"/>
      <c r="H791" s="811" t="s">
        <v>12</v>
      </c>
      <c r="I791" s="809"/>
      <c r="J791" s="809"/>
      <c r="K791" s="810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f ca="1">IFERROR(__xludf.DUMMYFUNCTION("IMPORTRANGE(""https://docs.google.com/spreadsheets/d/1fb2B9NLcpJgjIieIJvenUTNPn0TimZDUi0OtYeiSQ_s/edit?usp=share_link"",""กาฬสินธุ์!M791"")+IMPORTRANGE(""https://docs.google.com/spreadsheets/d/1SaMnqrwRGmFYNR0MhpWmHuL5niYUd5E7vDq8X7whAlI/edit?usp=share_li"&amp;"nk"",""ขอนแก่น!M791"")
+IMPORTRANGE(""https://docs.google.com/spreadsheets/d/1xQzEtGHhTTgxHh6YUkKY1P4dRyjVhS74dGswLfAASA4/edit?usp=share_link"",""ชัยภูมิ!M791"")+IMPORTRANGE(""https://docs.google.com/spreadsheets/d/1EXMBoBxU3OFbjT2TRpneM33qFjqDzrKmn9ydcfl"&amp;"fI0o/edit?usp=share_link"",""นครพนม!M791"")+IMPORTRANGE(""https://docs.google.com/spreadsheets/d/1bDQrolntRWtHumK8W-x-HXKntwxB9S3sF5aDeRS66Ko/edit?usp=share_link"",""นครราชสีมา!M791"")+IMPORTRANGE(""https://docs.google.com/spreadsheets/d/1_MzZ-2gVPiCW-d2V"&amp;"cafoCmFJQTSrZ6SQyFcMqRRQQ2w/edit?usp=share_link"",""บึงกาฬ!M791"")
+IMPORTRANGE(""https://docs.google.com/spreadsheets/d/1B3lPpzOuaNwVItLwLEZYl_qEblfcx7dRnbRkAw0l-pE/edit?usp=share_link"",""บุรีรัมย์!M791"")+IMPORTRANGE(""https://docs.google.com/spreadshe"&amp;"ets/d/19GOkiOqnzYbevLYWrMk4qFOXe3rX14BkSA8X-mq-a40/edit?usp=share_link"",""มหาสารคาม!M791"")+IMPORTRANGE(""https://docs.google.com/spreadsheets/d/1uMKqWwuNQ-TCKboGA3Bb1qXb5uj2-faACNUINCz8PN4/edit?usp=share_link"",""มุกดาหาร!M791"")+IMPORTRANGE(""https://d"&amp;"ocs.google.com/spreadsheets/d/1oKaccgDdQABndOzGr688Dbfxb_V3YcF67VqEPBtdzsc/edit?usp=share_link"",""ยโสธร!M791"")+IMPORTRANGE(""https://docs.google.com/spreadsheets/d/1BRgc8xKpxZ0PX-gauieMVkV_IOxKSotf0yW8MabGprQ/edit?usp=share_link"",""ร้อยเอ็ด!M791"")+IMP"&amp;"ORTRANGE(""https://docs.google.com/spreadsheets/d/1IdolZc-dfdgMwAm_KZxYJl1sUOcIgnbGQzbWOlddedo/edit?usp=share_link"",""เลย!M791"")+IMPORTRANGE(""https://docs.google.com/spreadsheets/d/1tZ0nmtGuIRCaGAMXHlQU8EpR9LOAJvyKfc4f7EFmE34/edit?usp=share_link"",""ศร"&amp;"ีสะเกษ!M791"")+IMPORTRANGE(""https://docs.google.com/spreadsheets/d/1QC8psz9w0f9IVE9Xuc2FT_btkaOzZbbUSgYObpBuetM/edit?usp=share_link"",""สกลนคร!M791"")+IMPORTRANGE(""https://docs.google.com/spreadsheets/d/1wPdvRbu02d33MYVlbsCnyTiZpefEBs9NNktAnT1HZvw/edit?"&amp;"usp=share_link"",""สุรินทร์!M791"")+IMPORTRANGE(""https://docs.google.com/spreadsheets/d/1GVExpf-Exi_2gmuqTYH28fseTB9MoKPXWcXCbSt_YrM/edit?usp=share_link"",""หนองคาย!M791"")+IMPORTRANGE(""https://docs.google.com/spreadsheets/d/16UeMz0UgOB5BZcoxP75eYGcLFtG"&amp;"YRn9GoesD4OX9m5U/edit?usp=share_link"",""หนองบัวลำภู!M791"")+IMPORTRANGE(""https://docs.google.com/spreadsheets/d/1uUP8Zo1-qaJLuIkRU0qlwLSE3DHkbdrrj2JGJiWBQZE/edit?usp=share_link"",""อำนาจเจริญ!M791"")+IMPORTRANGE(""https://docs.google.com/spreadsheets/d/"&amp;"1hb_taSOHanzRjqfzWPiFo8yiT83VV1L7vvUCLhOiHKc/edit?usp=share_link"",""อุดรธานี!M791"")+IMPORTRANGE(""https://docs.google.com/spreadsheets/d/17IOkEwkUd63EGNfyNDnM5de9YlZ7rwzTiW6-dokVjKI/edit?usp=share_link"",""อุบลราชธานี!M791"")
"),2156480)</f>
        <v>2156480</v>
      </c>
      <c r="N791" s="45">
        <f ca="1">N792+N793+N794+N795</f>
        <v>1242504.46</v>
      </c>
      <c r="O791" s="45">
        <f t="shared" ca="1" si="362"/>
        <v>57.617249406440123</v>
      </c>
      <c r="P791" s="45">
        <f t="shared" ca="1" si="363"/>
        <v>57.617249406440123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574"/>
      <c r="D792" s="574"/>
      <c r="E792" s="574"/>
      <c r="F792" s="575" t="s">
        <v>187</v>
      </c>
      <c r="G792" s="189"/>
      <c r="H792" s="812" t="s">
        <v>12</v>
      </c>
      <c r="I792" s="809"/>
      <c r="J792" s="809"/>
      <c r="K792" s="810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574"/>
      <c r="D793" s="574"/>
      <c r="E793" s="574"/>
      <c r="F793" s="575" t="s">
        <v>188</v>
      </c>
      <c r="G793" s="189"/>
      <c r="H793" s="812" t="s">
        <v>12</v>
      </c>
      <c r="I793" s="809"/>
      <c r="J793" s="809"/>
      <c r="K793" s="810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"),42000)</f>
        <v>42000</v>
      </c>
      <c r="O793" s="38"/>
      <c r="P793" s="38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574"/>
      <c r="D794" s="574"/>
      <c r="E794" s="574"/>
      <c r="F794" s="575" t="s">
        <v>189</v>
      </c>
      <c r="G794" s="189"/>
      <c r="H794" s="812" t="s">
        <v>12</v>
      </c>
      <c r="I794" s="809"/>
      <c r="J794" s="809"/>
      <c r="K794" s="810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"),397081.22)</f>
        <v>397081.22</v>
      </c>
      <c r="O794" s="38"/>
      <c r="P794" s="38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574"/>
      <c r="D795" s="574"/>
      <c r="E795" s="574"/>
      <c r="F795" s="575" t="s">
        <v>190</v>
      </c>
      <c r="G795" s="189"/>
      <c r="H795" s="812" t="s">
        <v>12</v>
      </c>
      <c r="I795" s="809"/>
      <c r="J795" s="809"/>
      <c r="K795" s="810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"),803423.24)</f>
        <v>803423.24</v>
      </c>
      <c r="O795" s="38"/>
      <c r="P795" s="38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574"/>
      <c r="D796" s="604" t="s">
        <v>21</v>
      </c>
      <c r="E796" s="574"/>
      <c r="F796" s="574"/>
      <c r="G796" s="189"/>
      <c r="H796" s="815" t="s">
        <v>12</v>
      </c>
      <c r="I796" s="813"/>
      <c r="J796" s="813"/>
      <c r="K796" s="814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3"/>
      <c r="C797" s="598"/>
      <c r="D797" s="598"/>
      <c r="E797" s="600" t="s">
        <v>18</v>
      </c>
      <c r="F797" s="598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3"/>
      <c r="C798" s="598"/>
      <c r="D798" s="598"/>
      <c r="E798" s="600" t="s">
        <v>19</v>
      </c>
      <c r="F798" s="598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07"/>
      <c r="C799" s="574" t="s">
        <v>16</v>
      </c>
      <c r="D799" s="758" t="s">
        <v>38</v>
      </c>
      <c r="E799" s="610"/>
      <c r="F799" s="610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07"/>
      <c r="C800" s="607"/>
      <c r="D800" s="607"/>
      <c r="E800" s="617"/>
      <c r="F800" s="187" t="s">
        <v>321</v>
      </c>
      <c r="G800" s="175"/>
      <c r="H800" s="818" t="s">
        <v>34</v>
      </c>
      <c r="I800" s="813"/>
      <c r="J800" s="819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"),1222)</f>
        <v>1222</v>
      </c>
      <c r="K800" s="810"/>
      <c r="L800" s="38"/>
      <c r="M800" s="38"/>
      <c r="N800" s="38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07"/>
      <c r="C801" s="607"/>
      <c r="D801" s="607"/>
      <c r="E801" s="617"/>
      <c r="F801" s="617"/>
      <c r="G801" s="175"/>
      <c r="H801" s="812" t="s">
        <v>46</v>
      </c>
      <c r="I801" s="819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20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"),16781)</f>
        <v>16781</v>
      </c>
      <c r="K801" s="821">
        <f ca="1">IF(I801&gt;0,J801*100/I801,0)</f>
        <v>52.440624999999997</v>
      </c>
      <c r="L801" s="38"/>
      <c r="M801" s="38"/>
      <c r="N801" s="38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3"/>
      <c r="C802" s="613"/>
      <c r="D802" s="613"/>
      <c r="E802" s="599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3"/>
      <c r="C803" s="613"/>
      <c r="D803" s="613"/>
      <c r="E803" s="599"/>
      <c r="F803" s="599"/>
      <c r="G803" s="366"/>
      <c r="H803" s="818" t="s">
        <v>46</v>
      </c>
      <c r="I803" s="819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20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"),15019)</f>
        <v>15019</v>
      </c>
      <c r="K803" s="821">
        <f t="shared" ref="K803:K804" ca="1" si="370">IF(I803&gt;0,J803*100/I803,0)</f>
        <v>100.12666666666667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70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598"/>
      <c r="C805" s="598" t="s">
        <v>16</v>
      </c>
      <c r="D805" s="861" t="s">
        <v>17</v>
      </c>
      <c r="E805" s="854"/>
      <c r="F805" s="854"/>
      <c r="G805" s="601"/>
      <c r="H805" s="644" t="s">
        <v>12</v>
      </c>
      <c r="I805" s="44"/>
      <c r="J805" s="44"/>
      <c r="K805" s="45"/>
      <c r="L805" s="645">
        <f t="shared" ref="L805:N805" si="371">L806+L807</f>
        <v>0</v>
      </c>
      <c r="M805" s="645">
        <f t="shared" si="371"/>
        <v>0</v>
      </c>
      <c r="N805" s="645">
        <f t="shared" si="371"/>
        <v>0</v>
      </c>
      <c r="O805" s="645">
        <f t="shared" ref="O805:O810" si="372">IF(L805&gt;0,N805*100/L805,0)</f>
        <v>0</v>
      </c>
      <c r="P805" s="645">
        <f t="shared" ref="P805:P810" si="373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598"/>
      <c r="C806" s="598"/>
      <c r="D806" s="613"/>
      <c r="E806" s="600" t="s">
        <v>185</v>
      </c>
      <c r="F806" s="598"/>
      <c r="G806" s="601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598"/>
      <c r="C807" s="598"/>
      <c r="D807" s="613"/>
      <c r="E807" s="600" t="s">
        <v>186</v>
      </c>
      <c r="F807" s="598"/>
      <c r="G807" s="601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3"/>
      <c r="C808" s="598"/>
      <c r="D808" s="863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76">L809+L810</f>
        <v>0</v>
      </c>
      <c r="M808" s="645">
        <f t="shared" si="376"/>
        <v>0</v>
      </c>
      <c r="N808" s="645">
        <f t="shared" si="376"/>
        <v>0</v>
      </c>
      <c r="O808" s="645">
        <f t="shared" si="372"/>
        <v>0</v>
      </c>
      <c r="P808" s="645">
        <f t="shared" si="373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598"/>
      <c r="C809" s="598"/>
      <c r="D809" s="613"/>
      <c r="E809" s="600" t="s">
        <v>185</v>
      </c>
      <c r="F809" s="598"/>
      <c r="G809" s="601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598"/>
      <c r="C810" s="598"/>
      <c r="D810" s="613"/>
      <c r="E810" s="600" t="s">
        <v>186</v>
      </c>
      <c r="F810" s="598"/>
      <c r="G810" s="601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3"/>
      <c r="C811" s="598"/>
      <c r="D811" s="603"/>
      <c r="E811" s="598"/>
      <c r="F811" s="600" t="s">
        <v>187</v>
      </c>
      <c r="G811" s="601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3"/>
      <c r="C812" s="598"/>
      <c r="D812" s="603"/>
      <c r="E812" s="598"/>
      <c r="F812" s="600" t="s">
        <v>188</v>
      </c>
      <c r="G812" s="601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3"/>
      <c r="C813" s="598"/>
      <c r="D813" s="603"/>
      <c r="E813" s="598"/>
      <c r="F813" s="600" t="s">
        <v>189</v>
      </c>
      <c r="G813" s="601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3"/>
      <c r="C814" s="598"/>
      <c r="D814" s="603"/>
      <c r="E814" s="598"/>
      <c r="F814" s="600" t="s">
        <v>190</v>
      </c>
      <c r="G814" s="601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3"/>
      <c r="C815" s="598"/>
      <c r="D815" s="863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77">L816+L817</f>
        <v>0</v>
      </c>
      <c r="M815" s="645">
        <f t="shared" si="377"/>
        <v>0</v>
      </c>
      <c r="N815" s="645">
        <f t="shared" si="377"/>
        <v>0</v>
      </c>
      <c r="O815" s="645">
        <f t="shared" ref="O815:O817" si="378">IF(L815&gt;0,N815*100/L815,0)</f>
        <v>0</v>
      </c>
      <c r="P815" s="645">
        <f t="shared" ref="P815:P817" si="379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3"/>
      <c r="C816" s="598"/>
      <c r="D816" s="603"/>
      <c r="E816" s="600" t="s">
        <v>18</v>
      </c>
      <c r="F816" s="598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3"/>
      <c r="C817" s="598"/>
      <c r="D817" s="603"/>
      <c r="E817" s="600" t="s">
        <v>19</v>
      </c>
      <c r="F817" s="598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3"/>
      <c r="C818" s="598" t="s">
        <v>16</v>
      </c>
      <c r="D818" s="824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8.75" hidden="1">
      <c r="A819" s="825"/>
      <c r="B819" s="826"/>
      <c r="C819" s="827"/>
      <c r="D819" s="826"/>
      <c r="E819" s="828" t="s">
        <v>324</v>
      </c>
      <c r="F819" s="827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833" t="s">
        <v>325</v>
      </c>
      <c r="B820" s="834"/>
      <c r="C820" s="834"/>
      <c r="D820" s="835"/>
      <c r="E820" s="834"/>
      <c r="F820" s="834"/>
      <c r="G820" s="836"/>
      <c r="H820" s="83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215"/>
      <c r="J820" s="215"/>
      <c r="K820" s="838"/>
      <c r="L820" s="838"/>
      <c r="M820" s="838"/>
      <c r="N820" s="838"/>
      <c r="O820" s="838"/>
      <c r="P820" s="838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575" t="s">
        <v>326</v>
      </c>
      <c r="C821" s="574"/>
      <c r="D821" s="573"/>
      <c r="E821" s="574"/>
      <c r="F821" s="574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"),130213741.259999)</f>
        <v>130213741.25999901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"),75341595.1599999)</f>
        <v>75341595.159999907</v>
      </c>
      <c r="K821" s="38">
        <f t="shared" ref="K821:K828" ca="1" si="380">IF(I821&gt;0,J821*100/I821,0)</f>
        <v>57.859941993037914</v>
      </c>
      <c r="L821" s="38"/>
      <c r="M821" s="38"/>
      <c r="N821" s="38"/>
      <c r="O821" s="38"/>
      <c r="P821" s="38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574"/>
      <c r="C822" s="574"/>
      <c r="D822" s="573"/>
      <c r="E822" s="574"/>
      <c r="F822" s="574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"),8452)</f>
        <v>8452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"),4640)</f>
        <v>4640</v>
      </c>
      <c r="K822" s="38">
        <f t="shared" ca="1" si="380"/>
        <v>54.898248935163274</v>
      </c>
      <c r="L822" s="38"/>
      <c r="M822" s="38"/>
      <c r="N822" s="38"/>
      <c r="O822" s="38"/>
      <c r="P822" s="38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575" t="s">
        <v>327</v>
      </c>
      <c r="C823" s="574"/>
      <c r="D823" s="573"/>
      <c r="E823" s="574"/>
      <c r="F823" s="574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"),16951675.1899999)</f>
        <v>16951675.189999901</v>
      </c>
      <c r="K823" s="38">
        <f t="shared" ca="1" si="380"/>
        <v>11.00464019849956</v>
      </c>
      <c r="L823" s="38"/>
      <c r="M823" s="38"/>
      <c r="N823" s="38"/>
      <c r="O823" s="38"/>
      <c r="P823" s="38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574"/>
      <c r="C824" s="574"/>
      <c r="D824" s="573"/>
      <c r="E824" s="574"/>
      <c r="F824" s="574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"),2643)</f>
        <v>2643</v>
      </c>
      <c r="K824" s="38">
        <f t="shared" ca="1" si="380"/>
        <v>36.205479452054796</v>
      </c>
      <c r="L824" s="38"/>
      <c r="M824" s="38"/>
      <c r="N824" s="38"/>
      <c r="O824" s="38"/>
      <c r="P824" s="38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575" t="s">
        <v>328</v>
      </c>
      <c r="C825" s="574"/>
      <c r="D825" s="573"/>
      <c r="E825" s="574"/>
      <c r="F825" s="574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"),9852771.58999999)</f>
        <v>9852771.5899999905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"),4938633.15)</f>
        <v>4938633.1500000004</v>
      </c>
      <c r="K825" s="38">
        <f t="shared" ca="1" si="380"/>
        <v>50.124303652917682</v>
      </c>
      <c r="L825" s="38"/>
      <c r="M825" s="38"/>
      <c r="N825" s="38"/>
      <c r="O825" s="38"/>
      <c r="P825" s="38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574"/>
      <c r="C826" s="574"/>
      <c r="D826" s="573"/>
      <c r="E826" s="574"/>
      <c r="F826" s="574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"),1208)</f>
        <v>1208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"),852)</f>
        <v>852</v>
      </c>
      <c r="K826" s="38">
        <f t="shared" ca="1" si="380"/>
        <v>70.52980132450331</v>
      </c>
      <c r="L826" s="38"/>
      <c r="M826" s="38"/>
      <c r="N826" s="38"/>
      <c r="O826" s="38"/>
      <c r="P826" s="38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575" t="s">
        <v>329</v>
      </c>
      <c r="C827" s="574"/>
      <c r="D827" s="573"/>
      <c r="E827" s="574"/>
      <c r="F827" s="574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"),72353000)</f>
        <v>72353000</v>
      </c>
      <c r="K827" s="38">
        <f t="shared" ca="1" si="380"/>
        <v>50.916959887403237</v>
      </c>
      <c r="L827" s="38"/>
      <c r="M827" s="38"/>
      <c r="N827" s="38"/>
      <c r="O827" s="38"/>
      <c r="P827" s="38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4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"),1913)</f>
        <v>1913</v>
      </c>
      <c r="K828" s="505">
        <f t="shared" ca="1" si="380"/>
        <v>36.951902646320264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5BA9-3159-439E-8D3C-CEE29A65E04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6650271</v>
      </c>
      <c r="M8" s="22">
        <f t="shared" ca="1" si="0"/>
        <v>6049167</v>
      </c>
      <c r="N8" s="22">
        <f t="shared" ca="1" si="0"/>
        <v>4139535.69</v>
      </c>
      <c r="O8" s="22">
        <f t="shared" ref="O8:O16" ca="1" si="1">IF(L8&gt;0,N8*100/L8,0)</f>
        <v>62.246120346073113</v>
      </c>
      <c r="P8" s="22">
        <f t="shared" ref="P8:P16" ca="1" si="2">IF(M8&gt;0,N8*100/M8,0)</f>
        <v>68.431499576718579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6650271</v>
      </c>
      <c r="M10" s="30">
        <f t="shared" ca="1" si="3"/>
        <v>6049167</v>
      </c>
      <c r="N10" s="30">
        <f t="shared" ca="1" si="3"/>
        <v>4139535.69</v>
      </c>
      <c r="O10" s="30">
        <f t="shared" ca="1" si="1"/>
        <v>62.246120346073113</v>
      </c>
      <c r="P10" s="30">
        <f t="shared" ca="1" si="2"/>
        <v>68.431499576718579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5545671</v>
      </c>
      <c r="M11" s="497">
        <f t="shared" ca="1" si="4"/>
        <v>5054567</v>
      </c>
      <c r="N11" s="497">
        <f t="shared" ca="1" si="4"/>
        <v>3144935.69</v>
      </c>
      <c r="O11" s="497">
        <f t="shared" ca="1" si="1"/>
        <v>56.709741526318453</v>
      </c>
      <c r="P11" s="497">
        <f t="shared" ca="1" si="2"/>
        <v>62.219685484434173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5545671</v>
      </c>
      <c r="M13" s="93">
        <f t="shared" ca="1" si="5"/>
        <v>5054567</v>
      </c>
      <c r="N13" s="93">
        <f t="shared" ca="1" si="5"/>
        <v>3144935.69</v>
      </c>
      <c r="O13" s="93">
        <f t="shared" ca="1" si="1"/>
        <v>56.709741526318453</v>
      </c>
      <c r="P13" s="93">
        <f t="shared" ca="1" si="2"/>
        <v>62.219685484434173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1104600</v>
      </c>
      <c r="M14" s="497">
        <f t="shared" ca="1" si="6"/>
        <v>994600</v>
      </c>
      <c r="N14" s="497">
        <f t="shared" ca="1" si="6"/>
        <v>994600</v>
      </c>
      <c r="O14" s="497">
        <f t="shared" ca="1" si="1"/>
        <v>90.041644034039464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1104600</v>
      </c>
      <c r="M16" s="52">
        <f t="shared" ca="1" si="7"/>
        <v>994600</v>
      </c>
      <c r="N16" s="52">
        <f t="shared" ca="1" si="7"/>
        <v>994600</v>
      </c>
      <c r="O16" s="52">
        <f t="shared" ca="1" si="1"/>
        <v>90.041644034039464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4267682</v>
      </c>
      <c r="M18" s="22">
        <f t="shared" ca="1" si="8"/>
        <v>3666578</v>
      </c>
      <c r="N18" s="22">
        <f t="shared" ca="1" si="8"/>
        <v>3105451.69</v>
      </c>
      <c r="O18" s="22">
        <f t="shared" ref="O18:O26" ca="1" si="9">IF(L18&gt;0,N18*100/L18,0)</f>
        <v>72.766707781882531</v>
      </c>
      <c r="P18" s="22">
        <f t="shared" ref="P18:P26" ca="1" si="10">IF(M18&gt;0,N18*100/M18,0)</f>
        <v>84.696185107748974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4267682</v>
      </c>
      <c r="M20" s="30">
        <f t="shared" ca="1" si="11"/>
        <v>3666578</v>
      </c>
      <c r="N20" s="30">
        <f t="shared" ca="1" si="11"/>
        <v>3105451.69</v>
      </c>
      <c r="O20" s="30">
        <f t="shared" ca="1" si="9"/>
        <v>72.766707781882531</v>
      </c>
      <c r="P20" s="30">
        <f t="shared" ca="1" si="10"/>
        <v>84.696185107748974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3163082</v>
      </c>
      <c r="M21" s="497">
        <f t="shared" ca="1" si="12"/>
        <v>2671978</v>
      </c>
      <c r="N21" s="497">
        <f t="shared" ca="1" si="12"/>
        <v>2110851.69</v>
      </c>
      <c r="O21" s="497">
        <f t="shared" ca="1" si="9"/>
        <v>66.734017328668685</v>
      </c>
      <c r="P21" s="497">
        <f t="shared" ca="1" si="10"/>
        <v>78.999590939745758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3163082</v>
      </c>
      <c r="M23" s="93">
        <f t="shared" ca="1" si="13"/>
        <v>2671978</v>
      </c>
      <c r="N23" s="93">
        <f t="shared" ca="1" si="13"/>
        <v>2110851.69</v>
      </c>
      <c r="O23" s="93">
        <f t="shared" ca="1" si="9"/>
        <v>66.734017328668685</v>
      </c>
      <c r="P23" s="93">
        <f t="shared" ca="1" si="10"/>
        <v>78.999590939745758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1104600</v>
      </c>
      <c r="M24" s="497">
        <f t="shared" ca="1" si="14"/>
        <v>994600</v>
      </c>
      <c r="N24" s="497">
        <f t="shared" ca="1" si="14"/>
        <v>994600</v>
      </c>
      <c r="O24" s="497">
        <f t="shared" ca="1" si="9"/>
        <v>90.041644034039464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1104600</v>
      </c>
      <c r="M26" s="52">
        <f t="shared" ca="1" si="15"/>
        <v>994600</v>
      </c>
      <c r="N26" s="52">
        <f t="shared" ca="1" si="15"/>
        <v>994600</v>
      </c>
      <c r="O26" s="52">
        <f t="shared" ca="1" si="9"/>
        <v>90.041644034039464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2382589</v>
      </c>
      <c r="M28" s="22">
        <f t="shared" ca="1" si="16"/>
        <v>2382589</v>
      </c>
      <c r="N28" s="22">
        <f t="shared" si="16"/>
        <v>1034084</v>
      </c>
      <c r="O28" s="22">
        <f t="shared" ref="O28:O37" ca="1" si="17">IF(L28&gt;0,N28*100/L28,0)</f>
        <v>43.40169454320489</v>
      </c>
      <c r="P28" s="22">
        <f t="shared" ref="P28:P37" ca="1" si="18">IF(M28&gt;0,N28*100/M28,0)</f>
        <v>43.40169454320489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2382589</v>
      </c>
      <c r="M30" s="30">
        <f t="shared" ca="1" si="19"/>
        <v>2382589</v>
      </c>
      <c r="N30" s="30">
        <f t="shared" si="19"/>
        <v>1034084</v>
      </c>
      <c r="O30" s="30">
        <f t="shared" ca="1" si="17"/>
        <v>43.40169454320489</v>
      </c>
      <c r="P30" s="30">
        <f t="shared" ca="1" si="18"/>
        <v>43.40169454320489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2382589</v>
      </c>
      <c r="M31" s="497">
        <f t="shared" ca="1" si="20"/>
        <v>2382589</v>
      </c>
      <c r="N31" s="497">
        <f t="shared" si="20"/>
        <v>1034084</v>
      </c>
      <c r="O31" s="497">
        <f t="shared" ca="1" si="17"/>
        <v>43.40169454320489</v>
      </c>
      <c r="P31" s="497">
        <f t="shared" ca="1" si="18"/>
        <v>43.40169454320489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2382589</v>
      </c>
      <c r="M33" s="93">
        <f t="shared" ca="1" si="21"/>
        <v>2382589</v>
      </c>
      <c r="N33" s="93">
        <f t="shared" si="21"/>
        <v>1034084</v>
      </c>
      <c r="O33" s="93">
        <f t="shared" ca="1" si="17"/>
        <v>43.40169454320489</v>
      </c>
      <c r="P33" s="93">
        <f t="shared" ca="1" si="18"/>
        <v>43.40169454320489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4267682</v>
      </c>
      <c r="M37" s="870">
        <f t="shared" ca="1" si="24"/>
        <v>3666578</v>
      </c>
      <c r="N37" s="870">
        <f t="shared" ca="1" si="24"/>
        <v>3105451.69</v>
      </c>
      <c r="O37" s="870">
        <f t="shared" ca="1" si="17"/>
        <v>72.766707781882531</v>
      </c>
      <c r="P37" s="870">
        <f t="shared" ca="1" si="18"/>
        <v>84.696185107748974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439342</v>
      </c>
      <c r="M41" s="85">
        <f t="shared" ca="1" si="25"/>
        <v>444013</v>
      </c>
      <c r="N41" s="85">
        <f t="shared" ca="1" si="25"/>
        <v>333074</v>
      </c>
      <c r="O41" s="85">
        <f t="shared" ref="O41:O49" ca="1" si="26">IF(L41&gt;0,N41*100/L41,0)</f>
        <v>75.812009778259309</v>
      </c>
      <c r="P41" s="85">
        <f t="shared" ref="P41:P49" ca="1" si="27">IF(M41&gt;0,N41*100/M41,0)</f>
        <v>75.014470297040859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439342</v>
      </c>
      <c r="M43" s="92">
        <f t="shared" ca="1" si="28"/>
        <v>444013</v>
      </c>
      <c r="N43" s="92">
        <f t="shared" ca="1" si="28"/>
        <v>333074</v>
      </c>
      <c r="O43" s="92">
        <f t="shared" ca="1" si="26"/>
        <v>75.812009778259309</v>
      </c>
      <c r="P43" s="92">
        <f t="shared" ca="1" si="27"/>
        <v>75.014470297040859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439342</v>
      </c>
      <c r="M44" s="497">
        <f t="shared" ca="1" si="29"/>
        <v>444013</v>
      </c>
      <c r="N44" s="497">
        <f t="shared" ca="1" si="29"/>
        <v>333074</v>
      </c>
      <c r="O44" s="497">
        <f t="shared" ca="1" si="26"/>
        <v>75.812009778259309</v>
      </c>
      <c r="P44" s="497">
        <f t="shared" ca="1" si="27"/>
        <v>75.014470297040859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IFERROR(__xludf.DUMMYFUNCTION("IMPORTRANGE(""https://docs.google.com/spreadsheets/d/1MeEWN-I1oV_STSDYn1IFDPWt_1FKiwhDph83XaGc0o0/edit?usp=sharing"",""งบพรบ!M40"")"),439342)</f>
        <v>439342</v>
      </c>
      <c r="M46" s="93">
        <f ca="1">IFERROR(__xludf.DUMMYFUNCTION("IMPORTRANGE(""https://docs.google.com/spreadsheets/d/1MeEWN-I1oV_STSDYn1IFDPWt_1FKiwhDph83XaGc0o0/edit?usp=sharing"",""งบพรบ!R40"")"),444013)</f>
        <v>444013</v>
      </c>
      <c r="N46" s="93">
        <f ca="1">IFERROR(__xludf.DUMMYFUNCTION("IMPORTRANGE(""https://docs.google.com/spreadsheets/d/1MeEWN-I1oV_STSDYn1IFDPWt_1FKiwhDph83XaGc0o0/edit?usp=sharing"",""งบพรบ!T40"")"),333074)</f>
        <v>333074</v>
      </c>
      <c r="O46" s="93">
        <f t="shared" ca="1" si="26"/>
        <v>75.812009778259309</v>
      </c>
      <c r="P46" s="93">
        <f t="shared" ca="1" si="27"/>
        <v>75.014470297040859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IFERROR(__xludf.DUMMYFUNCTION("IMPORTRANGE(""https://docs.google.com/spreadsheets/d/1MeEWN-I1oV_STSDYn1IFDPWt_1FKiwhDph83XaGc0o0/edit?usp=sharing"",""งบพรบ!P40"")"),0)</f>
        <v>0</v>
      </c>
      <c r="M49" s="52">
        <f ca="1">IFERROR(__xludf.DUMMYFUNCTION("IMPORTRANGE(""https://docs.google.com/spreadsheets/d/1MeEWN-I1oV_STSDYn1IFDPWt_1FKiwhDph83XaGc0o0/edit?usp=sharing"",""งบพรบ!S40"")"),0)</f>
        <v>0</v>
      </c>
      <c r="N49" s="52">
        <f ca="1">IFERROR(__xludf.DUMMYFUNCTION("IMPORTRANGE(""https://docs.google.com/spreadsheets/d/1MeEWN-I1oV_STSDYn1IFDPWt_1FKiwhDph83XaGc0o0/edit?usp=sharing"",""งบพรบ!U40"")"),0)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696600</v>
      </c>
      <c r="M53" s="116">
        <f t="shared" ca="1" si="31"/>
        <v>522450</v>
      </c>
      <c r="N53" s="116">
        <f t="shared" ca="1" si="31"/>
        <v>459555.72</v>
      </c>
      <c r="O53" s="116">
        <f t="shared" ref="O53:O61" ca="1" si="32">IF(L53&gt;0,N53*100/L53,0)</f>
        <v>65.971248923341946</v>
      </c>
      <c r="P53" s="116">
        <f t="shared" ref="P53:P61" ca="1" si="33">IF(M53&gt;0,N53*100/M53,0)</f>
        <v>87.961665231122595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696600</v>
      </c>
      <c r="M55" s="123">
        <f t="shared" ca="1" si="34"/>
        <v>522450</v>
      </c>
      <c r="N55" s="123">
        <f t="shared" ca="1" si="34"/>
        <v>459555.72</v>
      </c>
      <c r="O55" s="123">
        <f t="shared" ca="1" si="32"/>
        <v>65.971248923341946</v>
      </c>
      <c r="P55" s="123">
        <f t="shared" ca="1" si="33"/>
        <v>87.961665231122595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696600</v>
      </c>
      <c r="M56" s="497">
        <f t="shared" ca="1" si="35"/>
        <v>522450</v>
      </c>
      <c r="N56" s="497">
        <f t="shared" ca="1" si="35"/>
        <v>459555.72</v>
      </c>
      <c r="O56" s="497">
        <f t="shared" ca="1" si="32"/>
        <v>65.971248923341946</v>
      </c>
      <c r="P56" s="497">
        <f t="shared" ca="1" si="33"/>
        <v>87.961665231122595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IFERROR(__xludf.DUMMYFUNCTION("IMPORTRANGE(""https://docs.google.com/spreadsheets/d/1MeEWN-I1oV_STSDYn1IFDPWt_1FKiwhDph83XaGc0o0/edit?usp=sharing"",""งบพรบ!W40"")"),696600)</f>
        <v>696600</v>
      </c>
      <c r="M58" s="93">
        <f ca="1">IFERROR(__xludf.DUMMYFUNCTION("IMPORTRANGE(""https://docs.google.com/spreadsheets/d/1MeEWN-I1oV_STSDYn1IFDPWt_1FKiwhDph83XaGc0o0/edit?usp=sharing"",""งบพรบ!AB40"")"),522450)</f>
        <v>522450</v>
      </c>
      <c r="N58" s="93">
        <f ca="1">IFERROR(__xludf.DUMMYFUNCTION("IMPORTRANGE(""https://docs.google.com/spreadsheets/d/1MeEWN-I1oV_STSDYn1IFDPWt_1FKiwhDph83XaGc0o0/edit?usp=sharing"",""งบพรบ!AD40"")"),459555.72)</f>
        <v>459555.72</v>
      </c>
      <c r="O58" s="93">
        <f t="shared" ca="1" si="32"/>
        <v>65.971248923341946</v>
      </c>
      <c r="P58" s="93">
        <f t="shared" ca="1" si="33"/>
        <v>87.961665231122595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IFERROR(__xludf.DUMMYFUNCTION("IMPORTRANGE(""https://docs.google.com/spreadsheets/d/1MeEWN-I1oV_STSDYn1IFDPWt_1FKiwhDph83XaGc0o0/edit?usp=sharing"",""งบพรบ!Z40"")"),0)</f>
        <v>0</v>
      </c>
      <c r="M61" s="52">
        <f ca="1">IFERROR(__xludf.DUMMYFUNCTION("IMPORTRANGE(""https://docs.google.com/spreadsheets/d/1MeEWN-I1oV_STSDYn1IFDPWt_1FKiwhDph83XaGc0o0/edit?usp=sharing"",""งบพรบ!AC40"")"),0)</f>
        <v>0</v>
      </c>
      <c r="N61" s="52">
        <f ca="1">IFERROR(__xludf.DUMMYFUNCTION("IMPORTRANGE(""https://docs.google.com/spreadsheets/d/1MeEWN-I1oV_STSDYn1IFDPWt_1FKiwhDph83XaGc0o0/edit?usp=sharing"",""งบพรบ!AE40"")"),0)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920900</v>
      </c>
      <c r="M66" s="155">
        <f t="shared" ca="1" si="39"/>
        <v>700490</v>
      </c>
      <c r="N66" s="155">
        <f t="shared" ca="1" si="39"/>
        <v>586092.97</v>
      </c>
      <c r="O66" s="155">
        <f t="shared" ref="O66:O74" ca="1" si="40">IF(L66&gt;0,N66*100/L66,0)</f>
        <v>63.643497665327395</v>
      </c>
      <c r="P66" s="155">
        <f t="shared" ref="P66:P74" ca="1" si="41">IF(M66&gt;0,N66*100/M66,0)</f>
        <v>83.668998843666571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920900</v>
      </c>
      <c r="M68" s="93">
        <f t="shared" ca="1" si="42"/>
        <v>700490</v>
      </c>
      <c r="N68" s="93">
        <f t="shared" ca="1" si="42"/>
        <v>586092.97</v>
      </c>
      <c r="O68" s="93">
        <f t="shared" ca="1" si="40"/>
        <v>63.643497665327395</v>
      </c>
      <c r="P68" s="93">
        <f t="shared" ca="1" si="41"/>
        <v>83.668998843666571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920900</v>
      </c>
      <c r="M69" s="497">
        <f t="shared" ca="1" si="43"/>
        <v>700490</v>
      </c>
      <c r="N69" s="497">
        <f t="shared" ca="1" si="43"/>
        <v>586092.97</v>
      </c>
      <c r="O69" s="497">
        <f t="shared" ca="1" si="40"/>
        <v>63.643497665327395</v>
      </c>
      <c r="P69" s="497">
        <f t="shared" ca="1" si="41"/>
        <v>83.668998843666571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IFERROR(__xludf.DUMMYFUNCTION("IMPORTRANGE(""https://docs.google.com/spreadsheets/d/1MeEWN-I1oV_STSDYn1IFDPWt_1FKiwhDph83XaGc0o0/edit?usp=sharing"",""งบพรบ!AG40"")"),920900)</f>
        <v>920900</v>
      </c>
      <c r="M71" s="93">
        <f ca="1">IFERROR(__xludf.DUMMYFUNCTION("IMPORTRANGE(""https://docs.google.com/spreadsheets/d/1MeEWN-I1oV_STSDYn1IFDPWt_1FKiwhDph83XaGc0o0/edit?usp=sharing"",""งบพรบ!AL40"")"),700490)</f>
        <v>700490</v>
      </c>
      <c r="N71" s="93">
        <f ca="1">IFERROR(__xludf.DUMMYFUNCTION("IMPORTRANGE(""https://docs.google.com/spreadsheets/d/1MeEWN-I1oV_STSDYn1IFDPWt_1FKiwhDph83XaGc0o0/edit?usp=sharing"",""งบพรบ!AN40"")"),586092.97)</f>
        <v>586092.97</v>
      </c>
      <c r="O71" s="93">
        <f t="shared" ca="1" si="40"/>
        <v>63.643497665327395</v>
      </c>
      <c r="P71" s="93">
        <f t="shared" ca="1" si="41"/>
        <v>83.668998843666571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IFERROR(__xludf.DUMMYFUNCTION("IMPORTRANGE(""https://docs.google.com/spreadsheets/d/1MeEWN-I1oV_STSDYn1IFDPWt_1FKiwhDph83XaGc0o0/edit?usp=sharing"",""งบพรบ!AJ40"")"),0)</f>
        <v>0</v>
      </c>
      <c r="M74" s="93">
        <f ca="1">IFERROR(__xludf.DUMMYFUNCTION("IMPORTRANGE(""https://docs.google.com/spreadsheets/d/1MeEWN-I1oV_STSDYn1IFDPWt_1FKiwhDph83XaGc0o0/edit?usp=sharing"",""งบพรบ!AM40"")"),0)</f>
        <v>0</v>
      </c>
      <c r="N74" s="93">
        <f ca="1">IFERROR(__xludf.DUMMYFUNCTION("IMPORTRANGE(""https://docs.google.com/spreadsheets/d/1MeEWN-I1oV_STSDYn1IFDPWt_1FKiwhDph83XaGc0o0/edit?usp=sharing"",""งบพรบ!AO40"")"),0)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IFERROR(__xludf.DUMMYFUNCTION("IMPORTRANGE(""https://docs.google.com/spreadsheets/d/1QqKyyYR6Q21VydFLVH3TRQUabQu_ym0Zz7PgGX0-kHA/edit?usp=sharing"",""แผน!D40"")"),1)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IFERROR(__xludf.DUMMYFUNCTION("IMPORTRANGE(""https://docs.google.com/spreadsheets/d/1QqKyyYR6Q21VydFLVH3TRQUabQu_ym0Zz7PgGX0-kHA/edit?usp=sharing"",""แผน!E40"")"),30)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79640</v>
      </c>
      <c r="N88" s="155">
        <f t="shared" ca="1" si="49"/>
        <v>78840</v>
      </c>
      <c r="O88" s="155">
        <f t="shared" ref="O88:O96" ca="1" si="50">IF(L88&gt;0,N88*100/L88,0)</f>
        <v>91.31341209173037</v>
      </c>
      <c r="P88" s="155">
        <f t="shared" ref="P88:P96" ca="1" si="51">IF(M88&gt;0,N88*100/M88,0)</f>
        <v>98.995479658463083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86340</v>
      </c>
      <c r="M90" s="93">
        <f t="shared" ca="1" si="52"/>
        <v>79640</v>
      </c>
      <c r="N90" s="93">
        <f t="shared" ca="1" si="52"/>
        <v>78840</v>
      </c>
      <c r="O90" s="93">
        <f t="shared" ca="1" si="50"/>
        <v>91.31341209173037</v>
      </c>
      <c r="P90" s="93">
        <f t="shared" ca="1" si="51"/>
        <v>98.995479658463083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79640</v>
      </c>
      <c r="N91" s="497">
        <f t="shared" ca="1" si="53"/>
        <v>78840</v>
      </c>
      <c r="O91" s="497">
        <f t="shared" ca="1" si="50"/>
        <v>91.31341209173037</v>
      </c>
      <c r="P91" s="497">
        <f t="shared" ca="1" si="51"/>
        <v>98.995479658463083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IFERROR(__xludf.DUMMYFUNCTION("IMPORTRANGE(""https://docs.google.com/spreadsheets/d/1MeEWN-I1oV_STSDYn1IFDPWt_1FKiwhDph83XaGc0o0/edit?usp=sharing"",""งบพรบ!AQ40"")"),86340)</f>
        <v>86340</v>
      </c>
      <c r="M93" s="93">
        <f ca="1">IFERROR(__xludf.DUMMYFUNCTION("IMPORTRANGE(""https://docs.google.com/spreadsheets/d/1MeEWN-I1oV_STSDYn1IFDPWt_1FKiwhDph83XaGc0o0/edit?usp=sharing"",""งบพรบ!AV40"")"),79640)</f>
        <v>79640</v>
      </c>
      <c r="N93" s="93">
        <f ca="1">IFERROR(__xludf.DUMMYFUNCTION("IMPORTRANGE(""https://docs.google.com/spreadsheets/d/1MeEWN-I1oV_STSDYn1IFDPWt_1FKiwhDph83XaGc0o0/edit?usp=sharing"",""งบพรบ!AX40"")"),78840)</f>
        <v>78840</v>
      </c>
      <c r="O93" s="93">
        <f t="shared" ca="1" si="50"/>
        <v>91.31341209173037</v>
      </c>
      <c r="P93" s="93">
        <f t="shared" ca="1" si="51"/>
        <v>98.995479658463083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IFERROR(__xludf.DUMMYFUNCTION("IMPORTRANGE(""https://docs.google.com/spreadsheets/d/1MeEWN-I1oV_STSDYn1IFDPWt_1FKiwhDph83XaGc0o0/edit?usp=sharing"",""งบพรบ!AT40"")"),0)</f>
        <v>0</v>
      </c>
      <c r="M96" s="93">
        <f ca="1">IFERROR(__xludf.DUMMYFUNCTION("IMPORTRANGE(""https://docs.google.com/spreadsheets/d/1MeEWN-I1oV_STSDYn1IFDPWt_1FKiwhDph83XaGc0o0/edit?usp=sharing"",""งบพรบ!AW40"")"),0)</f>
        <v>0</v>
      </c>
      <c r="N96" s="93">
        <f ca="1">IFERROR(__xludf.DUMMYFUNCTION("IMPORTRANGE(""https://docs.google.com/spreadsheets/d/1MeEWN-I1oV_STSDYn1IFDPWt_1FKiwhDph83XaGc0o0/edit?usp=sharing"",""งบพรบ!AY40"")"),0)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IFERROR(__xludf.DUMMYFUNCTION("IMPORTRANGE(""https://docs.google.com/spreadsheets/d/1MeEWN-I1oV_STSDYn1IFDPWt_1FKiwhDph83XaGc0o0/edit?usp=sharing"",""งบพรบ!BA40"")"),0)</f>
        <v>0</v>
      </c>
      <c r="M124" s="93">
        <f ca="1">IFERROR(__xludf.DUMMYFUNCTION("IMPORTRANGE(""https://docs.google.com/spreadsheets/d/1MeEWN-I1oV_STSDYn1IFDPWt_1FKiwhDph83XaGc0o0/edit?usp=sharing"",""งบพรบ!BF40"")"),0)</f>
        <v>0</v>
      </c>
      <c r="N124" s="93">
        <f ca="1">IFERROR(__xludf.DUMMYFUNCTION("IMPORTRANGE(""https://docs.google.com/spreadsheets/d/1MeEWN-I1oV_STSDYn1IFDPWt_1FKiwhDph83XaGc0o0/edit?usp=sharing"",""งบพรบ!BH40"")"),0)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IFERROR(__xludf.DUMMYFUNCTION("IMPORTRANGE(""https://docs.google.com/spreadsheets/d/1MeEWN-I1oV_STSDYn1IFDPWt_1FKiwhDph83XaGc0o0/edit?usp=sharing"",""งบพรบ!BD40"")"),0)</f>
        <v>0</v>
      </c>
      <c r="M127" s="93">
        <f ca="1">IFERROR(__xludf.DUMMYFUNCTION("IMPORTRANGE(""https://docs.google.com/spreadsheets/d/1MeEWN-I1oV_STSDYn1IFDPWt_1FKiwhDph83XaGc0o0/edit?usp=sharing"",""งบพรบ!BG40"")"),0)</f>
        <v>0</v>
      </c>
      <c r="N127" s="93">
        <f ca="1">IFERROR(__xludf.DUMMYFUNCTION("IMPORTRANGE(""https://docs.google.com/spreadsheets/d/1MeEWN-I1oV_STSDYn1IFDPWt_1FKiwhDph83XaGc0o0/edit?usp=sharing"",""งบพรบ!BI40"")"),0)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146900</v>
      </c>
      <c r="O132" s="155">
        <f t="shared" ref="O132:O140" ca="1" si="70">IF(L132&gt;0,N132*100/L132,0)</f>
        <v>96.864593979756691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146900</v>
      </c>
      <c r="O134" s="93">
        <f t="shared" ca="1" si="70"/>
        <v>96.864593979756691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43900</v>
      </c>
      <c r="O135" s="497">
        <f t="shared" ca="1" si="70"/>
        <v>90.227109238516078</v>
      </c>
      <c r="P135" s="497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IFERROR(__xludf.DUMMYFUNCTION("IMPORTRANGE(""https://docs.google.com/spreadsheets/d/1MeEWN-I1oV_STSDYn1IFDPWt_1FKiwhDph83XaGc0o0/edit?usp=sharing"",""งบพรบ!BK40"")"),48655)</f>
        <v>48655</v>
      </c>
      <c r="M137" s="93">
        <f ca="1">IFERROR(__xludf.DUMMYFUNCTION("IMPORTRANGE(""https://docs.google.com/spreadsheets/d/1MeEWN-I1oV_STSDYn1IFDPWt_1FKiwhDph83XaGc0o0/edit?usp=sharing"",""งบพรบ!BP40"")"),43900)</f>
        <v>43900</v>
      </c>
      <c r="N137" s="93">
        <f ca="1">IFERROR(__xludf.DUMMYFUNCTION("IMPORTRANGE(""https://docs.google.com/spreadsheets/d/1MeEWN-I1oV_STSDYn1IFDPWt_1FKiwhDph83XaGc0o0/edit?usp=sharing"",""งบพรบ!BR40"")"),43900)</f>
        <v>43900</v>
      </c>
      <c r="O137" s="93">
        <f t="shared" ca="1" si="70"/>
        <v>90.227109238516078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IFERROR(__xludf.DUMMYFUNCTION("IMPORTRANGE(""https://docs.google.com/spreadsheets/d/1MeEWN-I1oV_STSDYn1IFDPWt_1FKiwhDph83XaGc0o0/edit?usp=sharing"",""งบพรบ!BN40"")"),103000)</f>
        <v>103000</v>
      </c>
      <c r="M140" s="93">
        <f ca="1">IFERROR(__xludf.DUMMYFUNCTION("IMPORTRANGE(""https://docs.google.com/spreadsheets/d/1MeEWN-I1oV_STSDYn1IFDPWt_1FKiwhDph83XaGc0o0/edit?usp=sharing"",""งบพรบ!BQ40"")"),103000)</f>
        <v>103000</v>
      </c>
      <c r="N140" s="93">
        <f ca="1">IFERROR(__xludf.DUMMYFUNCTION("IMPORTRANGE(""https://docs.google.com/spreadsheets/d/1MeEWN-I1oV_STSDYn1IFDPWt_1FKiwhDph83XaGc0o0/edit?usp=sharing"",""งบพรบ!BS40"")"),103000)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IFERROR(__xludf.DUMMYFUNCTION("IMPORTRANGE(""https://docs.google.com/spreadsheets/d/1QqKyyYR6Q21VydFLVH3TRQUabQu_ym0Zz7PgGX0-kHA/edit?usp=sharing"",""แผน!U40"")"),5)</f>
        <v>5</v>
      </c>
      <c r="J144" s="215">
        <v>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IFERROR(__xludf.DUMMYFUNCTION("IMPORTRANGE(""https://docs.google.com/spreadsheets/d/1QqKyyYR6Q21VydFLVH3TRQUabQu_ym0Zz7PgGX0-kHA/edit?usp=sharing"",""แผน!V40"")"),10)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IFERROR(__xludf.DUMMYFUNCTION("IMPORTRANGE(""https://docs.google.com/spreadsheets/d/1QqKyyYR6Q21VydFLVH3TRQUabQu_ym0Zz7PgGX0-kHA/edit?usp=sharing"",""แผน!W40"")"),1)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IFERROR(__xludf.DUMMYFUNCTION("IMPORTRANGE(""https://docs.google.com/spreadsheets/d/1MeEWN-I1oV_STSDYn1IFDPWt_1FKiwhDph83XaGc0o0/edit?usp=sharing"",""งบพรบ!BU40"")"),0)</f>
        <v>0</v>
      </c>
      <c r="M154" s="93">
        <f ca="1">IFERROR(__xludf.DUMMYFUNCTION("IMPORTRANGE(""https://docs.google.com/spreadsheets/d/1MeEWN-I1oV_STSDYn1IFDPWt_1FKiwhDph83XaGc0o0/edit?usp=sharing"",""งบพรบ!BZ40"")"),0)</f>
        <v>0</v>
      </c>
      <c r="N154" s="93">
        <f ca="1">IFERROR(__xludf.DUMMYFUNCTION("IMPORTRANGE(""https://docs.google.com/spreadsheets/d/1MeEWN-I1oV_STSDYn1IFDPWt_1FKiwhDph83XaGc0o0/edit?usp=sharing"",""งบพรบ!CB40"")"),0)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IFERROR(__xludf.DUMMYFUNCTION("IMPORTRANGE(""https://docs.google.com/spreadsheets/d/1MeEWN-I1oV_STSDYn1IFDPWt_1FKiwhDph83XaGc0o0/edit?usp=sharing"",""งบพรบ!BX40"")"),0)</f>
        <v>0</v>
      </c>
      <c r="M157" s="93">
        <f ca="1">IFERROR(__xludf.DUMMYFUNCTION("IMPORTRANGE(""https://docs.google.com/spreadsheets/d/1MeEWN-I1oV_STSDYn1IFDPWt_1FKiwhDph83XaGc0o0/edit?usp=sharing"",""งบพรบ!CA40"")"),0)</f>
        <v>0</v>
      </c>
      <c r="N157" s="93">
        <f ca="1">IFERROR(__xludf.DUMMYFUNCTION("IMPORTRANGE(""https://docs.google.com/spreadsheets/d/1MeEWN-I1oV_STSDYn1IFDPWt_1FKiwhDph83XaGc0o0/edit?usp=sharing"",""งบพรบ!CC40"")"),0)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IFERROR(__xludf.DUMMYFUNCTION("IMPORTRANGE(""https://docs.google.com/spreadsheets/d/1MeEWN-I1oV_STSDYn1IFDPWt_1FKiwhDph83XaGc0o0/edit?usp=sharing"",""งบพรบ!CE40"")"),22055)</f>
        <v>22055</v>
      </c>
      <c r="M170" s="93">
        <f ca="1">IFERROR(__xludf.DUMMYFUNCTION("IMPORTRANGE(""https://docs.google.com/spreadsheets/d/1MeEWN-I1oV_STSDYn1IFDPWt_1FKiwhDph83XaGc0o0/edit?usp=sharing"",""งบพรบ!CJ40"")"),22055)</f>
        <v>22055</v>
      </c>
      <c r="N170" s="93">
        <f ca="1">IFERROR(__xludf.DUMMYFUNCTION("IMPORTRANGE(""https://docs.google.com/spreadsheets/d/1MeEWN-I1oV_STSDYn1IFDPWt_1FKiwhDph83XaGc0o0/edit?usp=sharing"",""งบพรบ!CL40"")"),22055)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IFERROR(__xludf.DUMMYFUNCTION("IMPORTRANGE(""https://docs.google.com/spreadsheets/d/1MeEWN-I1oV_STSDYn1IFDPWt_1FKiwhDph83XaGc0o0/edit?usp=sharing"",""งบพรบ!CH40"")"),0)</f>
        <v>0</v>
      </c>
      <c r="M173" s="93">
        <f ca="1">IFERROR(__xludf.DUMMYFUNCTION("IMPORTRANGE(""https://docs.google.com/spreadsheets/d/1MeEWN-I1oV_STSDYn1IFDPWt_1FKiwhDph83XaGc0o0/edit?usp=sharing"",""งบพรบ!CK40"")"),0)</f>
        <v>0</v>
      </c>
      <c r="N173" s="93">
        <f ca="1">IFERROR(__xludf.DUMMYFUNCTION("IMPORTRANGE(""https://docs.google.com/spreadsheets/d/1MeEWN-I1oV_STSDYn1IFDPWt_1FKiwhDph83XaGc0o0/edit?usp=sharing"",""งบพรบ!CM40"")"),0)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84000</v>
      </c>
      <c r="M181" s="155">
        <f t="shared" ca="1" si="92"/>
        <v>72500</v>
      </c>
      <c r="N181" s="155">
        <f t="shared" ca="1" si="92"/>
        <v>66448</v>
      </c>
      <c r="O181" s="155">
        <f t="shared" ref="O181:O189" ca="1" si="93">IF(L181&gt;0,N181*100/L181,0)</f>
        <v>79.104761904761901</v>
      </c>
      <c r="P181" s="155">
        <f t="shared" ref="P181:P189" ca="1" si="94">IF(M181&gt;0,N181*100/M181,0)</f>
        <v>91.652413793103449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84000</v>
      </c>
      <c r="M183" s="93">
        <f t="shared" ca="1" si="95"/>
        <v>72500</v>
      </c>
      <c r="N183" s="93">
        <f t="shared" ca="1" si="95"/>
        <v>66448</v>
      </c>
      <c r="O183" s="93">
        <f t="shared" ca="1" si="93"/>
        <v>79.104761904761901</v>
      </c>
      <c r="P183" s="93">
        <f t="shared" ca="1" si="94"/>
        <v>91.652413793103449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84000</v>
      </c>
      <c r="M184" s="497">
        <f t="shared" ca="1" si="96"/>
        <v>72500</v>
      </c>
      <c r="N184" s="497">
        <f t="shared" ca="1" si="96"/>
        <v>66448</v>
      </c>
      <c r="O184" s="497">
        <f t="shared" ca="1" si="93"/>
        <v>79.104761904761901</v>
      </c>
      <c r="P184" s="497">
        <f t="shared" ca="1" si="94"/>
        <v>91.652413793103449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IFERROR(__xludf.DUMMYFUNCTION("IMPORTRANGE(""https://docs.google.com/spreadsheets/d/1MeEWN-I1oV_STSDYn1IFDPWt_1FKiwhDph83XaGc0o0/edit?usp=sharing"",""งบพรบ!CO40"")"),84000)</f>
        <v>84000</v>
      </c>
      <c r="M186" s="93">
        <f ca="1">IFERROR(__xludf.DUMMYFUNCTION("IMPORTRANGE(""https://docs.google.com/spreadsheets/d/1MeEWN-I1oV_STSDYn1IFDPWt_1FKiwhDph83XaGc0o0/edit?usp=sharing"",""งบพรบ!CT40"")"),72500)</f>
        <v>72500</v>
      </c>
      <c r="N186" s="93">
        <f ca="1">IFERROR(__xludf.DUMMYFUNCTION("IMPORTRANGE(""https://docs.google.com/spreadsheets/d/1MeEWN-I1oV_STSDYn1IFDPWt_1FKiwhDph83XaGc0o0/edit?usp=sharing"",""งบพรบ!CV40"")"),66448)</f>
        <v>66448</v>
      </c>
      <c r="O186" s="93">
        <f t="shared" ca="1" si="93"/>
        <v>79.104761904761901</v>
      </c>
      <c r="P186" s="93">
        <f t="shared" ca="1" si="94"/>
        <v>91.652413793103449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IFERROR(__xludf.DUMMYFUNCTION("IMPORTRANGE(""https://docs.google.com/spreadsheets/d/1MeEWN-I1oV_STSDYn1IFDPWt_1FKiwhDph83XaGc0o0/edit?usp=sharing"",""งบพรบ!CR40"")"),0)</f>
        <v>0</v>
      </c>
      <c r="M189" s="93">
        <f ca="1">IFERROR(__xludf.DUMMYFUNCTION("IMPORTRANGE(""https://docs.google.com/spreadsheets/d/1MeEWN-I1oV_STSDYn1IFDPWt_1FKiwhDph83XaGc0o0/edit?usp=sharing"",""งบพรบ!CU40"")"),0)</f>
        <v>0</v>
      </c>
      <c r="N189" s="93">
        <f ca="1">IFERROR(__xludf.DUMMYFUNCTION("IMPORTRANGE(""https://docs.google.com/spreadsheets/d/1MeEWN-I1oV_STSDYn1IFDPWt_1FKiwhDph83XaGc0o0/edit?usp=sharing"",""งบพรบ!CW40"")"),0)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9930</v>
      </c>
      <c r="O209" s="155">
        <f ca="1">IF(L209&gt;0,N209*100/L209,0)</f>
        <v>70.928571428571431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IFERROR(__xludf.DUMMYFUNCTION("IMPORTRANGE(""https://docs.google.com/spreadsheets/d/1QqKyyYR6Q21VydFLVH3TRQUabQu_ym0Zz7PgGX0-kHA/edit?usp=sharing"",""แผน!AK40"")"),1000)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IFERROR(__xludf.DUMMYFUNCTION("IMPORTRANGE(""https://docs.google.com/spreadsheets/d/1QqKyyYR6Q21VydFLVH3TRQUabQu_ym0Zz7PgGX0-kHA/edit?usp=sharing"",""แผน!AL40"")"),5000)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IFERROR(__xludf.DUMMYFUNCTION("IMPORTRANGE(""https://docs.google.com/spreadsheets/d/1QqKyyYR6Q21VydFLVH3TRQUabQu_ym0Zz7PgGX0-kHA/edit?usp=sharing"",""แผน!AM40"")"),8000)</f>
        <v>8000</v>
      </c>
      <c r="M212" s="497"/>
      <c r="N212" s="838">
        <v>4930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IFERROR(__xludf.DUMMYFUNCTION("IMPORTRANGE(""https://docs.google.com/spreadsheets/d/1QqKyyYR6Q21VydFLVH3TRQUabQu_ym0Zz7PgGX0-kHA/edit?usp=sharing"",""แผน!AN40"")"),1)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IFERROR(__xludf.DUMMYFUNCTION("IMPORTRANGE(""https://docs.google.com/spreadsheets/d/1QqKyyYR6Q21VydFLVH3TRQUabQu_ym0Zz7PgGX0-kHA/edit?usp=sharing"",""แผน!AN40"")"),1)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17518</v>
      </c>
      <c r="O217" s="155">
        <f ca="1">IF(L217&gt;0,N217*100/L217,0)</f>
        <v>70.072000000000003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IFERROR(__xludf.DUMMYFUNCTION("IMPORTRANGE(""https://docs.google.com/spreadsheets/d/1QqKyyYR6Q21VydFLVH3TRQUabQu_ym0Zz7PgGX0-kHA/edit?usp=sharing"",""แผน!AP40"")"),5000)</f>
        <v>5000</v>
      </c>
      <c r="M218" s="497"/>
      <c r="N218" s="838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IFERROR(__xludf.DUMMYFUNCTION("IMPORTRANGE(""https://docs.google.com/spreadsheets/d/1QqKyyYR6Q21VydFLVH3TRQUabQu_ym0Zz7PgGX0-kHA/edit?usp=sharing"",""แผน!AQ40"")"),10000)</f>
        <v>10000</v>
      </c>
      <c r="M219" s="497"/>
      <c r="N219" s="838">
        <v>7068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IFERROR(__xludf.DUMMYFUNCTION("IMPORTRANGE(""https://docs.google.com/spreadsheets/d/1QqKyyYR6Q21VydFLVH3TRQUabQu_ym0Zz7PgGX0-kHA/edit?usp=sharing"",""แผน!AR40"")"),10000)</f>
        <v>10000</v>
      </c>
      <c r="M220" s="497"/>
      <c r="N220" s="838">
        <v>5450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IFERROR(__xludf.DUMMYFUNCTION("IMPORTRANGE(""https://docs.google.com/spreadsheets/d/1QqKyyYR6Q21VydFLVH3TRQUabQu_ym0Zz7PgGX0-kHA/edit?usp=sharing"",""แผน!AT40"")"),40000)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IFERROR(__xludf.DUMMYFUNCTION("IMPORTRANGE(""https://docs.google.com/spreadsheets/d/1QqKyyYR6Q21VydFLVH3TRQUabQu_ym0Zz7PgGX0-kHA/edit?usp=sharing"",""แผน!AT40"")"),40000)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IFERROR(__xludf.DUMMYFUNCTION("IMPORTRANGE(""https://docs.google.com/spreadsheets/d/1QqKyyYR6Q21VydFLVH3TRQUabQu_ym0Zz7PgGX0-kHA/edit?usp=sharing"",""แผน!AS40"")"),10)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IFERROR(__xludf.DUMMYFUNCTION("IMPORTRANGE(""https://docs.google.com/spreadsheets/d/1MeEWN-I1oV_STSDYn1IFDPWt_1FKiwhDph83XaGc0o0/edit?usp=sharing"",""งบพรบ!CY40"")"),26900)</f>
        <v>26900</v>
      </c>
      <c r="M266" s="93">
        <f ca="1">IFERROR(__xludf.DUMMYFUNCTION("IMPORTRANGE(""https://docs.google.com/spreadsheets/d/1MeEWN-I1oV_STSDYn1IFDPWt_1FKiwhDph83XaGc0o0/edit?usp=sharing"",""งบพรบ!DD40"")"),23900)</f>
        <v>23900</v>
      </c>
      <c r="N266" s="93">
        <f ca="1">IFERROR(__xludf.DUMMYFUNCTION("IMPORTRANGE(""https://docs.google.com/spreadsheets/d/1MeEWN-I1oV_STSDYn1IFDPWt_1FKiwhDph83XaGc0o0/edit?usp=sharing"",""งบพรบ!DF40"")"),23900)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IFERROR(__xludf.DUMMYFUNCTION("IMPORTRANGE(""https://docs.google.com/spreadsheets/d/1MeEWN-I1oV_STSDYn1IFDPWt_1FKiwhDph83XaGc0o0/edit?usp=sharing"",""งบพรบ!DB40"")"),0)</f>
        <v>0</v>
      </c>
      <c r="M269" s="93">
        <f ca="1">IFERROR(__xludf.DUMMYFUNCTION("IMPORTRANGE(""https://docs.google.com/spreadsheets/d/1MeEWN-I1oV_STSDYn1IFDPWt_1FKiwhDph83XaGc0o0/edit?usp=sharing"",""งบพรบ!DE40"")"),0)</f>
        <v>0</v>
      </c>
      <c r="N269" s="93">
        <f ca="1">IFERROR(__xludf.DUMMYFUNCTION("IMPORTRANGE(""https://docs.google.com/spreadsheets/d/1MeEWN-I1oV_STSDYn1IFDPWt_1FKiwhDph83XaGc0o0/edit?usp=sharing"",""งบพรบ!DG40"")"),0)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20630</v>
      </c>
      <c r="O277" s="155">
        <f t="shared" ref="O277:O285" ca="1" si="126">IF(L277&gt;0,N277*100/L277,0)</f>
        <v>91.162174105170124</v>
      </c>
      <c r="P277" s="155">
        <f t="shared" ref="P277:P285" ca="1" si="127">IF(M277&gt;0,N277*100/M277,0)</f>
        <v>91.162174105170124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20630</v>
      </c>
      <c r="O279" s="93">
        <f t="shared" ca="1" si="126"/>
        <v>91.162174105170124</v>
      </c>
      <c r="P279" s="93">
        <f t="shared" ca="1" si="127"/>
        <v>91.162174105170124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20630</v>
      </c>
      <c r="O280" s="497">
        <f t="shared" ca="1" si="126"/>
        <v>91.162174105170124</v>
      </c>
      <c r="P280" s="497">
        <f t="shared" ca="1" si="127"/>
        <v>91.162174105170124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IFERROR(__xludf.DUMMYFUNCTION("IMPORTRANGE(""https://docs.google.com/spreadsheets/d/1MeEWN-I1oV_STSDYn1IFDPWt_1FKiwhDph83XaGc0o0/edit?usp=sharing"",""งบพรบ!DI40"")"),22630)</f>
        <v>22630</v>
      </c>
      <c r="M282" s="93">
        <f ca="1">IFERROR(__xludf.DUMMYFUNCTION("IMPORTRANGE(""https://docs.google.com/spreadsheets/d/1MeEWN-I1oV_STSDYn1IFDPWt_1FKiwhDph83XaGc0o0/edit?usp=sharing"",""งบพรบ!DN40"")"),22630)</f>
        <v>22630</v>
      </c>
      <c r="N282" s="93">
        <f ca="1">IFERROR(__xludf.DUMMYFUNCTION("IMPORTRANGE(""https://docs.google.com/spreadsheets/d/1MeEWN-I1oV_STSDYn1IFDPWt_1FKiwhDph83XaGc0o0/edit?usp=sharing"",""งบพรบ!DP40"")"),20630)</f>
        <v>20630</v>
      </c>
      <c r="O282" s="93">
        <f t="shared" ca="1" si="126"/>
        <v>91.162174105170124</v>
      </c>
      <c r="P282" s="93">
        <f t="shared" ca="1" si="127"/>
        <v>91.162174105170124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IFERROR(__xludf.DUMMYFUNCTION("IMPORTRANGE(""https://docs.google.com/spreadsheets/d/1MeEWN-I1oV_STSDYn1IFDPWt_1FKiwhDph83XaGc0o0/edit?usp=sharing"",""งบพรบ!DL40"")"),0)</f>
        <v>0</v>
      </c>
      <c r="M285" s="93">
        <f ca="1">IFERROR(__xludf.DUMMYFUNCTION("IMPORTRANGE(""https://docs.google.com/spreadsheets/d/1MeEWN-I1oV_STSDYn1IFDPWt_1FKiwhDph83XaGc0o0/edit?usp=sharing"",""งบพรบ!DO40"")"),0)</f>
        <v>0</v>
      </c>
      <c r="N285" s="93">
        <f ca="1">IFERROR(__xludf.DUMMYFUNCTION("IMPORTRANGE(""https://docs.google.com/spreadsheets/d/1MeEWN-I1oV_STSDYn1IFDPWt_1FKiwhDph83XaGc0o0/edit?usp=sharing"",""งบพรบ!DQ40"")"),0)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IFERROR(__xludf.DUMMYFUNCTION("IMPORTRANGE(""https://docs.google.com/spreadsheets/d/1QqKyyYR6Q21VydFLVH3TRQUabQu_ym0Zz7PgGX0-kHA/edit?usp=sharing"",""แผน!EC40"")"),50)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IFERROR(__xludf.DUMMYFUNCTION("IMPORTRANGE(""https://docs.google.com/spreadsheets/d/1QqKyyYR6Q21VydFLVH3TRQUabQu_ym0Zz7PgGX0-kHA/edit?usp=sharing"",""แผน!EB40"")"),5)</f>
        <v>5</v>
      </c>
      <c r="J288" s="679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IFERROR(__xludf.DUMMYFUNCTION("IMPORTRANGE(""https://docs.google.com/spreadsheets/d/1QqKyyYR6Q21VydFLVH3TRQUabQu_ym0Zz7PgGX0-kHA/edit?usp=sharing"",""แผน!EB40"")"),5)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IFERROR(__xludf.DUMMYFUNCTION("IMPORTRANGE(""https://docs.google.com/spreadsheets/d/1QqKyyYR6Q21VydFLVH3TRQUabQu_ym0Zz7PgGX0-kHA/edit?usp=sharing"",""แผน!EB40"")"),5)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IFERROR(__xludf.DUMMYFUNCTION("IMPORTRANGE(""https://docs.google.com/spreadsheets/d/1QqKyyYR6Q21VydFLVH3TRQUabQu_ym0Zz7PgGX0-kHA/edit?usp=sharing"",""แผน!EB40"")"),5)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IFERROR(__xludf.DUMMYFUNCTION("IMPORTRANGE(""https://docs.google.com/spreadsheets/d/1QqKyyYR6Q21VydFLVH3TRQUabQu_ym0Zz7PgGX0-kHA/edit?usp=sharing"",""แผน!EB40"")"),5)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64400</v>
      </c>
      <c r="O298" s="155">
        <f t="shared" ref="O298:O306" ca="1" si="136">IF(L298&gt;0,N298*100/L298,0)</f>
        <v>78.15533980582525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64400</v>
      </c>
      <c r="O300" s="93">
        <f t="shared" ca="1" si="136"/>
        <v>78.15533980582525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64400</v>
      </c>
      <c r="O301" s="497">
        <f t="shared" ca="1" si="136"/>
        <v>78.15533980582525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IFERROR(__xludf.DUMMYFUNCTION("IMPORTRANGE(""https://docs.google.com/spreadsheets/d/1MeEWN-I1oV_STSDYn1IFDPWt_1FKiwhDph83XaGc0o0/edit?usp=sharing"",""งบพรบ!DS40"")"),82400)</f>
        <v>82400</v>
      </c>
      <c r="M303" s="93">
        <f ca="1">IFERROR(__xludf.DUMMYFUNCTION("IMPORTRANGE(""https://docs.google.com/spreadsheets/d/1MeEWN-I1oV_STSDYn1IFDPWt_1FKiwhDph83XaGc0o0/edit?usp=sharing"",""งบพรบ!DX40"")"),64400)</f>
        <v>64400</v>
      </c>
      <c r="N303" s="93">
        <f ca="1">IFERROR(__xludf.DUMMYFUNCTION("IMPORTRANGE(""https://docs.google.com/spreadsheets/d/1MeEWN-I1oV_STSDYn1IFDPWt_1FKiwhDph83XaGc0o0/edit?usp=sharing"",""งบพรบ!DZ40"")"),64400)</f>
        <v>64400</v>
      </c>
      <c r="O303" s="93">
        <f t="shared" ca="1" si="136"/>
        <v>78.15533980582525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IFERROR(__xludf.DUMMYFUNCTION("IMPORTRANGE(""https://docs.google.com/spreadsheets/d/1MeEWN-I1oV_STSDYn1IFDPWt_1FKiwhDph83XaGc0o0/edit?usp=sharing"",""งบพรบ!DV40"")"),0)</f>
        <v>0</v>
      </c>
      <c r="M306" s="93">
        <f ca="1">IFERROR(__xludf.DUMMYFUNCTION("IMPORTRANGE(""https://docs.google.com/spreadsheets/d/1MeEWN-I1oV_STSDYn1IFDPWt_1FKiwhDph83XaGc0o0/edit?usp=sharing"",""งบพรบ!DY40"")"),0)</f>
        <v>0</v>
      </c>
      <c r="N306" s="93">
        <f ca="1">IFERROR(__xludf.DUMMYFUNCTION("IMPORTRANGE(""https://docs.google.com/spreadsheets/d/1MeEWN-I1oV_STSDYn1IFDPWt_1FKiwhDph83XaGc0o0/edit?usp=sharing"",""งบพรบ!EA40"")"),0)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IFERROR(__xludf.DUMMYFUNCTION("IMPORTRANGE(""https://docs.google.com/spreadsheets/d/1QqKyyYR6Q21VydFLVH3TRQUabQu_ym0Zz7PgGX0-kHA/edit?usp=sharing"",""แผน!EE40"")"),4)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IFERROR(__xludf.DUMMYFUNCTION("IMPORTRANGE(""https://docs.google.com/spreadsheets/d/1MeEWN-I1oV_STSDYn1IFDPWt_1FKiwhDph83XaGc0o0/edit?usp=sharing"",""งบพรบ!EC40"")"),0)</f>
        <v>0</v>
      </c>
      <c r="M320" s="93">
        <f ca="1">IFERROR(__xludf.DUMMYFUNCTION("IMPORTRANGE(""https://docs.google.com/spreadsheets/d/1MeEWN-I1oV_STSDYn1IFDPWt_1FKiwhDph83XaGc0o0/edit?usp=sharing"",""งบพรบ!EH40"")"),0)</f>
        <v>0</v>
      </c>
      <c r="N320" s="93">
        <f ca="1">IFERROR(__xludf.DUMMYFUNCTION("IMPORTRANGE(""https://docs.google.com/spreadsheets/d/1MeEWN-I1oV_STSDYn1IFDPWt_1FKiwhDph83XaGc0o0/edit?usp=sharing"",""งบพรบ!EJ40"")"),0)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IFERROR(__xludf.DUMMYFUNCTION("IMPORTRANGE(""https://docs.google.com/spreadsheets/d/1MeEWN-I1oV_STSDYn1IFDPWt_1FKiwhDph83XaGc0o0/edit?usp=sharing"",""งบพรบ!EF40"")"),0)</f>
        <v>0</v>
      </c>
      <c r="M323" s="93">
        <f ca="1">IFERROR(__xludf.DUMMYFUNCTION("IMPORTRANGE(""https://docs.google.com/spreadsheets/d/1MeEWN-I1oV_STSDYn1IFDPWt_1FKiwhDph83XaGc0o0/edit?usp=sharing"",""งบพรบ!EI40"")"),0)</f>
        <v>0</v>
      </c>
      <c r="N323" s="93">
        <f ca="1">IFERROR(__xludf.DUMMYFUNCTION("IMPORTRANGE(""https://docs.google.com/spreadsheets/d/1MeEWN-I1oV_STSDYn1IFDPWt_1FKiwhDph83XaGc0o0/edit?usp=sharing"",""งบพรบ!EK40"")"),0)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IFERROR(__xludf.DUMMYFUNCTION("IMPORTRANGE(""https://docs.google.com/spreadsheets/d/1QqKyyYR6Q21VydFLVH3TRQUabQu_ym0Zz7PgGX0-kHA/edit?usp=sharing"",""แผน!EG40"")"),2300)</f>
        <v>2300</v>
      </c>
      <c r="J327" s="444">
        <f ca="1">J338+J341+J342+J343</f>
        <v>2739</v>
      </c>
      <c r="K327" s="445">
        <f ca="1">IF(I327&gt;0,J327*100/I327,0)</f>
        <v>119.08695652173913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1020000</v>
      </c>
      <c r="M328" s="155">
        <f t="shared" ca="1" si="149"/>
        <v>965000</v>
      </c>
      <c r="N328" s="155">
        <f t="shared" ca="1" si="149"/>
        <v>886612</v>
      </c>
      <c r="O328" s="155">
        <f t="shared" ref="O328:O336" ca="1" si="150">IF(L328&gt;0,N328*100/L328,0)</f>
        <v>86.922745098039215</v>
      </c>
      <c r="P328" s="155">
        <f t="shared" ref="P328:P336" ca="1" si="151">IF(M328&gt;0,N328*100/M328,0)</f>
        <v>91.876891191709845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1020000</v>
      </c>
      <c r="M330" s="93">
        <f t="shared" ca="1" si="152"/>
        <v>965000</v>
      </c>
      <c r="N330" s="93">
        <f t="shared" ca="1" si="152"/>
        <v>886612</v>
      </c>
      <c r="O330" s="93">
        <f t="shared" ca="1" si="150"/>
        <v>86.922745098039215</v>
      </c>
      <c r="P330" s="93">
        <f t="shared" ca="1" si="151"/>
        <v>91.876891191709845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225000</v>
      </c>
      <c r="N331" s="497">
        <f t="shared" ca="1" si="153"/>
        <v>146612</v>
      </c>
      <c r="O331" s="497">
        <f t="shared" ca="1" si="150"/>
        <v>86.242352941176478</v>
      </c>
      <c r="P331" s="497">
        <f t="shared" ca="1" si="151"/>
        <v>65.160888888888891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IFERROR(__xludf.DUMMYFUNCTION("IMPORTRANGE(""https://docs.google.com/spreadsheets/d/1MeEWN-I1oV_STSDYn1IFDPWt_1FKiwhDph83XaGc0o0/edit?usp=sharing"",""งบพรบ!EM40"")"),170000)</f>
        <v>170000</v>
      </c>
      <c r="M333" s="93">
        <f ca="1">IFERROR(__xludf.DUMMYFUNCTION("IMPORTRANGE(""https://docs.google.com/spreadsheets/d/1MeEWN-I1oV_STSDYn1IFDPWt_1FKiwhDph83XaGc0o0/edit?usp=sharing"",""งบพรบ!ER40"")"),225000)</f>
        <v>225000</v>
      </c>
      <c r="N333" s="93">
        <f ca="1">IFERROR(__xludf.DUMMYFUNCTION("IMPORTRANGE(""https://docs.google.com/spreadsheets/d/1MeEWN-I1oV_STSDYn1IFDPWt_1FKiwhDph83XaGc0o0/edit?usp=sharing"",""งบพรบ!ET40"")"),146612)</f>
        <v>146612</v>
      </c>
      <c r="O333" s="93">
        <f t="shared" ca="1" si="150"/>
        <v>86.242352941176478</v>
      </c>
      <c r="P333" s="93">
        <f t="shared" ca="1" si="151"/>
        <v>65.160888888888891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740000</v>
      </c>
      <c r="N334" s="497">
        <f t="shared" ca="1" si="154"/>
        <v>740000</v>
      </c>
      <c r="O334" s="497">
        <f t="shared" ca="1" si="150"/>
        <v>87.058823529411768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IFERROR(__xludf.DUMMYFUNCTION("IMPORTRANGE(""https://docs.google.com/spreadsheets/d/1MeEWN-I1oV_STSDYn1IFDPWt_1FKiwhDph83XaGc0o0/edit?usp=sharing"",""งบพรบ!EP40"")"),850000)</f>
        <v>850000</v>
      </c>
      <c r="M336" s="93">
        <f ca="1">IFERROR(__xludf.DUMMYFUNCTION("IMPORTRANGE(""https://docs.google.com/spreadsheets/d/1MeEWN-I1oV_STSDYn1IFDPWt_1FKiwhDph83XaGc0o0/edit?usp=sharing"",""งบพรบ!ES40"")"),740000)</f>
        <v>740000</v>
      </c>
      <c r="N336" s="93">
        <f ca="1">IFERROR(__xludf.DUMMYFUNCTION("IMPORTRANGE(""https://docs.google.com/spreadsheets/d/1MeEWN-I1oV_STSDYn1IFDPWt_1FKiwhDph83XaGc0o0/edit?usp=sharing"",""งบพรบ!EU40"")"),740000)</f>
        <v>740000</v>
      </c>
      <c r="O336" s="93">
        <f t="shared" ca="1" si="150"/>
        <v>87.058823529411768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IFERROR(__xludf.DUMMYFUNCTION("IMPORTRANGE(""https://docs.google.com/spreadsheets/d/1QqKyyYR6Q21VydFLVH3TRQUabQu_ym0Zz7PgGX0-kHA/edit?usp=sharing"",""แผน!EG40"")"),2300)</f>
        <v>2300</v>
      </c>
      <c r="J338" s="270">
        <f ca="1">IFERROR(__xludf.DUMMYFUNCTION("IMPORTRANGE(""https://docs.google.com/spreadsheets/d/1kVcqe37tkHyjCSG3S0O1AXqVkqjo8mSIZil3BcpIysc/edit?usp=sharing"",""ศูนย์!D40"")"),2198)</f>
        <v>2198</v>
      </c>
      <c r="K338" s="497">
        <f ca="1">IF(I338&gt;0,J338*100/I338,0)</f>
        <v>95.565217391304344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IFERROR(__xludf.DUMMYFUNCTION("IMPORTRANGE(""https://docs.google.com/spreadsheets/d/1QqKyyYR6Q21VydFLVH3TRQUabQu_ym0Zz7PgGX0-kHA/edit?usp=sharing"",""แผน!EH40"")"),6)</f>
        <v>6</v>
      </c>
      <c r="J340" s="270">
        <f ca="1">IFERROR(__xludf.DUMMYFUNCTION("IMPORTRANGE(""https://docs.google.com/spreadsheets/d/1kVcqe37tkHyjCSG3S0O1AXqVkqjo8mSIZil3BcpIysc/edit?usp=sharing"",""ศูนย์!E40"")"),6)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IFERROR(__xludf.DUMMYFUNCTION("IMPORTRANGE(""https://docs.google.com/spreadsheets/d/1kVcqe37tkHyjCSG3S0O1AXqVkqjo8mSIZil3BcpIysc/edit?usp=sharing"",""ศูนย์!F40"")"),541)</f>
        <v>541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714860</v>
      </c>
      <c r="M345" s="155">
        <f t="shared" ca="1" si="155"/>
        <v>602600</v>
      </c>
      <c r="N345" s="155">
        <f t="shared" ca="1" si="155"/>
        <v>416944</v>
      </c>
      <c r="O345" s="155">
        <f t="shared" ref="O345:O353" ca="1" si="156">IF(L345&gt;0,N345*100/L345,0)</f>
        <v>58.325266485745459</v>
      </c>
      <c r="P345" s="155">
        <f t="shared" ref="P345:P353" ca="1" si="157">IF(M345&gt;0,N345*100/M345,0)</f>
        <v>69.190839694656489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714860</v>
      </c>
      <c r="M347" s="93">
        <f t="shared" ca="1" si="158"/>
        <v>602600</v>
      </c>
      <c r="N347" s="93">
        <f t="shared" ca="1" si="158"/>
        <v>416944</v>
      </c>
      <c r="O347" s="93">
        <f t="shared" ca="1" si="156"/>
        <v>58.325266485745459</v>
      </c>
      <c r="P347" s="93">
        <f t="shared" ca="1" si="157"/>
        <v>69.190839694656489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563260</v>
      </c>
      <c r="M348" s="497">
        <f t="shared" ca="1" si="159"/>
        <v>451000</v>
      </c>
      <c r="N348" s="497">
        <f t="shared" ca="1" si="159"/>
        <v>265344</v>
      </c>
      <c r="O348" s="497">
        <f t="shared" ca="1" si="156"/>
        <v>47.108617689876787</v>
      </c>
      <c r="P348" s="497">
        <f t="shared" ca="1" si="157"/>
        <v>58.83458980044346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IFERROR(__xludf.DUMMYFUNCTION("IMPORTRANGE(""https://docs.google.com/spreadsheets/d/1MeEWN-I1oV_STSDYn1IFDPWt_1FKiwhDph83XaGc0o0/edit?usp=sharing"",""งบพรบ!EW40"")"),563260)</f>
        <v>563260</v>
      </c>
      <c r="M350" s="93">
        <f ca="1">IFERROR(__xludf.DUMMYFUNCTION("IMPORTRANGE(""https://docs.google.com/spreadsheets/d/1MeEWN-I1oV_STSDYn1IFDPWt_1FKiwhDph83XaGc0o0/edit?usp=sharing"",""งบพรบ!FB40"")"),451000)</f>
        <v>451000</v>
      </c>
      <c r="N350" s="93">
        <f ca="1">IFERROR(__xludf.DUMMYFUNCTION("IMPORTRANGE(""https://docs.google.com/spreadsheets/d/1MeEWN-I1oV_STSDYn1IFDPWt_1FKiwhDph83XaGc0o0/edit?usp=sharing"",""งบพรบ!FD40"")"),265344)</f>
        <v>265344</v>
      </c>
      <c r="O350" s="93">
        <f t="shared" ca="1" si="156"/>
        <v>47.108617689876787</v>
      </c>
      <c r="P350" s="93">
        <f t="shared" ca="1" si="157"/>
        <v>58.83458980044346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IFERROR(__xludf.DUMMYFUNCTION("IMPORTRANGE(""https://docs.google.com/spreadsheets/d/1MeEWN-I1oV_STSDYn1IFDPWt_1FKiwhDph83XaGc0o0/edit?usp=sharing"",""งบพรบ!EZ40"")"),151600)</f>
        <v>151600</v>
      </c>
      <c r="M353" s="93">
        <f ca="1">IFERROR(__xludf.DUMMYFUNCTION("IMPORTRANGE(""https://docs.google.com/spreadsheets/d/1MeEWN-I1oV_STSDYn1IFDPWt_1FKiwhDph83XaGc0o0/edit?usp=sharing"",""งบพรบ!FC40"")"),151600)</f>
        <v>151600</v>
      </c>
      <c r="N353" s="93">
        <f ca="1">IFERROR(__xludf.DUMMYFUNCTION("IMPORTRANGE(""https://docs.google.com/spreadsheets/d/1MeEWN-I1oV_STSDYn1IFDPWt_1FKiwhDph83XaGc0o0/edit?usp=sharing"",""งบพรบ!FE40"")"),151600)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IFERROR(__xludf.DUMMYFUNCTION("IMPORTRANGE(""https://docs.google.com/spreadsheets/d/1QqKyyYR6Q21VydFLVH3TRQUabQu_ym0Zz7PgGX0-kHA/edit?usp=sharing"",""แผน!EP40"")"),224)</f>
        <v>224</v>
      </c>
      <c r="J355" s="464">
        <f ca="1">J362</f>
        <v>108</v>
      </c>
      <c r="K355" s="465">
        <f ca="1">IF(I355&gt;0,J355*100/I355,0)</f>
        <v>48.214285714285715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IFERROR(__xludf.DUMMYFUNCTION("IMPORTRANGE(""https://docs.google.com/spreadsheets/d/1XWAQStnk-4SwqDmLtmXYiTMKHgktTP8We1SCoS47DrQ/edit?usp=sharing"",""จัดที่ดิน!W40"")"),242)</f>
        <v>242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IFERROR(__xludf.DUMMYFUNCTION("IMPORTRANGE(""https://docs.google.com/spreadsheets/d/1QqKyyYR6Q21VydFLVH3TRQUabQu_ym0Zz7PgGX0-kHA/edit?usp=sharing"",""แผน!EO40"")"),2240)</f>
        <v>2240</v>
      </c>
      <c r="J359" s="270">
        <f ca="1">IFERROR(__xludf.DUMMYFUNCTION("IMPORTRANGE(""https://docs.google.com/spreadsheets/d/1XWAQStnk-4SwqDmLtmXYiTMKHgktTP8We1SCoS47DrQ/edit?usp=sharing"",""จัดที่ดิน!X40"")"),1392.65)</f>
        <v>1392.65</v>
      </c>
      <c r="K359" s="497">
        <f t="shared" ca="1" si="161"/>
        <v>62.171875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IFERROR(__xludf.DUMMYFUNCTION("IMPORTRANGE(""https://docs.google.com/spreadsheets/d/1QqKyyYR6Q21VydFLVH3TRQUabQu_ym0Zz7PgGX0-kHA/edit?usp=sharing"",""แผน!EP40"")"),224)</f>
        <v>224</v>
      </c>
      <c r="J360" s="270">
        <f ca="1">IFERROR(__xludf.DUMMYFUNCTION("IMPORTRANGE(""https://docs.google.com/spreadsheets/d/1XWAQStnk-4SwqDmLtmXYiTMKHgktTP8We1SCoS47DrQ/edit?usp=sharing"",""จัดที่ดิน!Y40"")"),190)</f>
        <v>190</v>
      </c>
      <c r="K360" s="497">
        <f t="shared" ca="1" si="161"/>
        <v>84.821428571428569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IFERROR(__xludf.DUMMYFUNCTION("IMPORTRANGE(""https://docs.google.com/spreadsheets/d/1XWAQStnk-4SwqDmLtmXYiTMKHgktTP8We1SCoS47DrQ/edit?usp=sharing"",""จัดที่ดิน!Z40"")"),1075.28)</f>
        <v>1075.28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IFERROR(__xludf.DUMMYFUNCTION("IMPORTRANGE(""https://docs.google.com/spreadsheets/d/1QqKyyYR6Q21VydFLVH3TRQUabQu_ym0Zz7PgGX0-kHA/edit?usp=sharing"",""แผน!EP40"")"),224)</f>
        <v>224</v>
      </c>
      <c r="J362" s="270">
        <f ca="1">IFERROR(__xludf.DUMMYFUNCTION("IMPORTRANGE(""https://docs.google.com/spreadsheets/d/1XWAQStnk-4SwqDmLtmXYiTMKHgktTP8We1SCoS47DrQ/edit?usp=sharing"",""จัดที่ดิน!AA40"")"),108)</f>
        <v>108</v>
      </c>
      <c r="K362" s="497">
        <f t="shared" ca="1" si="161"/>
        <v>48.214285714285715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IFERROR(__xludf.DUMMYFUNCTION("IMPORTRANGE(""https://docs.google.com/spreadsheets/d/1XWAQStnk-4SwqDmLtmXYiTMKHgktTP8We1SCoS47DrQ/edit?usp=sharing"",""จัดที่ดิน!AB40"")"),616.74)</f>
        <v>616.74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374</v>
      </c>
      <c r="J364" s="478">
        <f t="shared" ca="1" si="162"/>
        <v>266</v>
      </c>
      <c r="K364" s="479">
        <f t="shared" ca="1" si="161"/>
        <v>71.122994652406419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IFERROR(__xludf.DUMMYFUNCTION("IMPORTRANGE(""https://docs.google.com/spreadsheets/d/1QqKyyYR6Q21VydFLVH3TRQUabQu_ym0Zz7PgGX0-kHA/edit?usp=sharing"",""แผน!EJ40"")"),24)</f>
        <v>24</v>
      </c>
      <c r="J365" s="490">
        <f ca="1">J372</f>
        <v>17</v>
      </c>
      <c r="K365" s="491">
        <f t="shared" ca="1" si="161"/>
        <v>70.833333333333329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IFERROR(__xludf.DUMMYFUNCTION("IMPORTRANGE(""https://docs.google.com/spreadsheets/d/1XWAQStnk-4SwqDmLtmXYiTMKHgktTP8We1SCoS47DrQ/edit?usp=sharing"",""จัดที่ดิน!E40"")"),46)</f>
        <v>46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IFERROR(__xludf.DUMMYFUNCTION("IMPORTRANGE(""https://docs.google.com/spreadsheets/d/1QqKyyYR6Q21VydFLVH3TRQUabQu_ym0Zz7PgGX0-kHA/edit?usp=sharing"",""แผน!EI40"")"),240)</f>
        <v>240</v>
      </c>
      <c r="J369" s="270">
        <f ca="1">IFERROR(__xludf.DUMMYFUNCTION("IMPORTRANGE(""https://docs.google.com/spreadsheets/d/1XWAQStnk-4SwqDmLtmXYiTMKHgktTP8We1SCoS47DrQ/edit?usp=sharing"",""จัดที่ดิน!F40"")"),150.01)</f>
        <v>150.01</v>
      </c>
      <c r="K369" s="497">
        <f t="shared" ca="1" si="163"/>
        <v>62.50416666666667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IFERROR(__xludf.DUMMYFUNCTION("IMPORTRANGE(""https://docs.google.com/spreadsheets/d/1QqKyyYR6Q21VydFLVH3TRQUabQu_ym0Zz7PgGX0-kHA/edit?usp=sharing"",""แผน!EJ40"")"),24)</f>
        <v>24</v>
      </c>
      <c r="J370" s="270">
        <f ca="1">IFERROR(__xludf.DUMMYFUNCTION("IMPORTRANGE(""https://docs.google.com/spreadsheets/d/1XWAQStnk-4SwqDmLtmXYiTMKHgktTP8We1SCoS47DrQ/edit?usp=sharing"",""จัดที่ดิน!G40"")"),23)</f>
        <v>23</v>
      </c>
      <c r="K370" s="497">
        <f t="shared" ca="1" si="163"/>
        <v>95.833333333333329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IFERROR(__xludf.DUMMYFUNCTION("IMPORTRANGE(""https://docs.google.com/spreadsheets/d/1XWAQStnk-4SwqDmLtmXYiTMKHgktTP8We1SCoS47DrQ/edit?usp=sharing"",""จัดที่ดิน!H40"")"),77.33)</f>
        <v>77.33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IFERROR(__xludf.DUMMYFUNCTION("IMPORTRANGE(""https://docs.google.com/spreadsheets/d/1QqKyyYR6Q21VydFLVH3TRQUabQu_ym0Zz7PgGX0-kHA/edit?usp=sharing"",""แผน!EJ40"")"),24)</f>
        <v>24</v>
      </c>
      <c r="J372" s="270">
        <f ca="1">IFERROR(__xludf.DUMMYFUNCTION("IMPORTRANGE(""https://docs.google.com/spreadsheets/d/1XWAQStnk-4SwqDmLtmXYiTMKHgktTP8We1SCoS47DrQ/edit?usp=sharing"",""จัดที่ดิน!I40"")"),17)</f>
        <v>17</v>
      </c>
      <c r="K372" s="497">
        <f t="shared" ca="1" si="163"/>
        <v>70.833333333333329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IFERROR(__xludf.DUMMYFUNCTION("IMPORTRANGE(""https://docs.google.com/spreadsheets/d/1XWAQStnk-4SwqDmLtmXYiTMKHgktTP8We1SCoS47DrQ/edit?usp=sharing"",""จัดที่ดิน!J40"")"),42.12)</f>
        <v>42.12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IFERROR(__xludf.DUMMYFUNCTION("IMPORTRANGE(""https://docs.google.com/spreadsheets/d/1QqKyyYR6Q21VydFLVH3TRQUabQu_ym0Zz7PgGX0-kHA/edit?usp=sharing"",""แผน!EU40"")"),350)</f>
        <v>350</v>
      </c>
      <c r="J374" s="490">
        <f ca="1">J381</f>
        <v>249</v>
      </c>
      <c r="K374" s="491">
        <f t="shared" ca="1" si="163"/>
        <v>71.142857142857139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IFERROR(__xludf.DUMMYFUNCTION("IMPORTRANGE(""https://docs.google.com/spreadsheets/d/1XWAQStnk-4SwqDmLtmXYiTMKHgktTP8We1SCoS47DrQ/edit?usp=sharing"",""จัดที่ดิน!AH40"")"),196)</f>
        <v>196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IFERROR(__xludf.DUMMYFUNCTION("IMPORTRANGE(""https://docs.google.com/spreadsheets/d/1QqKyyYR6Q21VydFLVH3TRQUabQu_ym0Zz7PgGX0-kHA/edit?usp=sharing"",""แผน!ET40"")"),2000)</f>
        <v>2000</v>
      </c>
      <c r="J378" s="270">
        <f ca="1">IFERROR(__xludf.DUMMYFUNCTION("IMPORTRANGE(""https://docs.google.com/spreadsheets/d/1XWAQStnk-4SwqDmLtmXYiTMKHgktTP8We1SCoS47DrQ/edit?usp=sharing"",""จัดที่ดิน!AI40"")"),1242.64)</f>
        <v>1242.6400000000001</v>
      </c>
      <c r="K378" s="497">
        <f t="shared" ca="1" si="164"/>
        <v>62.132000000000005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IFERROR(__xludf.DUMMYFUNCTION("IMPORTRANGE(""https://docs.google.com/spreadsheets/d/1QqKyyYR6Q21VydFLVH3TRQUabQu_ym0Zz7PgGX0-kHA/edit?usp=sharing"",""แผน!EU40"")"),350)</f>
        <v>350</v>
      </c>
      <c r="J379" s="270">
        <f ca="1">IFERROR(__xludf.DUMMYFUNCTION("IMPORTRANGE(""https://docs.google.com/spreadsheets/d/1XWAQStnk-4SwqDmLtmXYiTMKHgktTP8We1SCoS47DrQ/edit?usp=sharing"",""จัดที่ดิน!AJ40"")"),326)</f>
        <v>326</v>
      </c>
      <c r="K379" s="497">
        <f t="shared" ca="1" si="164"/>
        <v>93.142857142857139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IFERROR(__xludf.DUMMYFUNCTION("IMPORTRANGE(""https://docs.google.com/spreadsheets/d/1XWAQStnk-4SwqDmLtmXYiTMKHgktTP8We1SCoS47DrQ/edit?usp=sharing"",""จัดที่ดิน!AK40"")"),2733.88)</f>
        <v>2733.88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IFERROR(__xludf.DUMMYFUNCTION("IMPORTRANGE(""https://docs.google.com/spreadsheets/d/1QqKyyYR6Q21VydFLVH3TRQUabQu_ym0Zz7PgGX0-kHA/edit?usp=sharing"",""แผน!EU40"")"),350)</f>
        <v>350</v>
      </c>
      <c r="J381" s="270">
        <f ca="1">IFERROR(__xludf.DUMMYFUNCTION("IMPORTRANGE(""https://docs.google.com/spreadsheets/d/1XWAQStnk-4SwqDmLtmXYiTMKHgktTP8We1SCoS47DrQ/edit?usp=sharing"",""จัดที่ดิน!AL40"")"),249)</f>
        <v>249</v>
      </c>
      <c r="K381" s="497">
        <f t="shared" ca="1" si="164"/>
        <v>71.142857142857139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IFERROR(__xludf.DUMMYFUNCTION("IMPORTRANGE(""https://docs.google.com/spreadsheets/d/1XWAQStnk-4SwqDmLtmXYiTMKHgktTP8We1SCoS47DrQ/edit?usp=sharing"",""จัดที่ดิน!AM40"")"),2296.59)</f>
        <v>2296.59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IFERROR(__xludf.DUMMYFUNCTION("IMPORTRANGE(""https://docs.google.com/spreadsheets/d/1QqKyyYR6Q21VydFLVH3TRQUabQu_ym0Zz7PgGX0-kHA/edit?usp=sharing"",""แผน!EW40"")"),80)</f>
        <v>80</v>
      </c>
      <c r="J385" s="504">
        <f ca="1">IFERROR(__xludf.DUMMYFUNCTION("IMPORTRANGE(""https://docs.google.com/spreadsheets/d/1XWAQStnk-4SwqDmLtmXYiTMKHgktTP8We1SCoS47DrQ/edit?usp=sharing"",""จัดที่ดิน!AP40"")"),94)</f>
        <v>94</v>
      </c>
      <c r="K385" s="505">
        <f ca="1">IF(I385&gt;0,J385*100/I385,0)</f>
        <v>117.5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IFERROR(__xludf.DUMMYFUNCTION("IMPORTRANGE(""https://docs.google.com/spreadsheets/d/1MeEWN-I1oV_STSDYn1IFDPWt_1FKiwhDph83XaGc0o0/edit?usp=sharing"",""งบพรบ!FG40"")"),0)</f>
        <v>0</v>
      </c>
      <c r="M394" s="93">
        <f ca="1">IFERROR(__xludf.DUMMYFUNCTION("IMPORTRANGE(""https://docs.google.com/spreadsheets/d/1MeEWN-I1oV_STSDYn1IFDPWt_1FKiwhDph83XaGc0o0/edit?usp=sharing"",""งบพรบ!FL40"")"),0)</f>
        <v>0</v>
      </c>
      <c r="N394" s="93">
        <f ca="1">IFERROR(__xludf.DUMMYFUNCTION("IMPORTRANGE(""https://docs.google.com/spreadsheets/d/1MeEWN-I1oV_STSDYn1IFDPWt_1FKiwhDph83XaGc0o0/edit?usp=sharing"",""งบพรบ!FN40"")"),0)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IFERROR(__xludf.DUMMYFUNCTION("IMPORTRANGE(""https://docs.google.com/spreadsheets/d/1MeEWN-I1oV_STSDYn1IFDPWt_1FKiwhDph83XaGc0o0/edit?usp=sharing"",""งบพรบ!FJ40"")"),0)</f>
        <v>0</v>
      </c>
      <c r="M397" s="93">
        <f ca="1">IFERROR(__xludf.DUMMYFUNCTION("IMPORTRANGE(""https://docs.google.com/spreadsheets/d/1MeEWN-I1oV_STSDYn1IFDPWt_1FKiwhDph83XaGc0o0/edit?usp=sharing"",""งบพรบ!FM40"")"),0)</f>
        <v>0</v>
      </c>
      <c r="N397" s="93">
        <f ca="1">IFERROR(__xludf.DUMMYFUNCTION("IMPORTRANGE(""https://docs.google.com/spreadsheets/d/1MeEWN-I1oV_STSDYn1IFDPWt_1FKiwhDph83XaGc0o0/edit?usp=sharing"",""งบพรบ!FO40"")"),0)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IFERROR(__xludf.DUMMYFUNCTION("IMPORTRANGE(""https://docs.google.com/spreadsheets/d/1MeEWN-I1oV_STSDYn1IFDPWt_1FKiwhDph83XaGc0o0/edit?usp=sharing"",""งบพรบ!FQ40"")"),0)</f>
        <v>0</v>
      </c>
      <c r="M407" s="93">
        <f ca="1">IFERROR(__xludf.DUMMYFUNCTION("IMPORTRANGE(""https://docs.google.com/spreadsheets/d/1MeEWN-I1oV_STSDYn1IFDPWt_1FKiwhDph83XaGc0o0/edit?usp=sharing"",""งบพรบ!FV40"")"),0)</f>
        <v>0</v>
      </c>
      <c r="N407" s="93">
        <f ca="1">IFERROR(__xludf.DUMMYFUNCTION("IMPORTRANGE(""https://docs.google.com/spreadsheets/d/1MeEWN-I1oV_STSDYn1IFDPWt_1FKiwhDph83XaGc0o0/edit?usp=sharing"",""งบพรบ!FX40"")"),0)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IFERROR(__xludf.DUMMYFUNCTION("IMPORTRANGE(""https://docs.google.com/spreadsheets/d/1MeEWN-I1oV_STSDYn1IFDPWt_1FKiwhDph83XaGc0o0/edit?usp=sharing"",""งบพรบ!FT40"")"),0)</f>
        <v>0</v>
      </c>
      <c r="M410" s="93">
        <f ca="1">IFERROR(__xludf.DUMMYFUNCTION("IMPORTRANGE(""https://docs.google.com/spreadsheets/d/1MeEWN-I1oV_STSDYn1IFDPWt_1FKiwhDph83XaGc0o0/edit?usp=sharing"",""งบพรบ!FW40"")"),0)</f>
        <v>0</v>
      </c>
      <c r="N410" s="93">
        <f ca="1">IFERROR(__xludf.DUMMYFUNCTION("IMPORTRANGE(""https://docs.google.com/spreadsheets/d/1MeEWN-I1oV_STSDYn1IFDPWt_1FKiwhDph83XaGc0o0/edit?usp=sharing"",""งบพรบ!FY40"")"),0)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2382589</v>
      </c>
      <c r="M414" s="552">
        <f t="shared" ca="1" si="181"/>
        <v>2382589</v>
      </c>
      <c r="N414" s="552">
        <f t="shared" si="181"/>
        <v>1034084</v>
      </c>
      <c r="O414" s="552">
        <f ca="1">IF(L414&gt;0,N414*100/L414,0)</f>
        <v>43.40169454320489</v>
      </c>
      <c r="P414" s="552">
        <f ca="1">IF(M414&gt;0,N414*100/M414,0)</f>
        <v>43.40169454320489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105050</v>
      </c>
      <c r="O419" s="155">
        <f t="shared" ref="O419:O424" ca="1" si="185">IF(L419&gt;0,N419*100/L419,0)</f>
        <v>91.300191204588913</v>
      </c>
      <c r="P419" s="155">
        <f t="shared" ref="P419:P424" ca="1" si="186">IF(M419&gt;0,N419*100/M419,0)</f>
        <v>91.300191204588913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105050</v>
      </c>
      <c r="O421" s="93">
        <f t="shared" ca="1" si="185"/>
        <v>91.300191204588913</v>
      </c>
      <c r="P421" s="93">
        <f t="shared" ca="1" si="186"/>
        <v>91.300191204588913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105050</v>
      </c>
      <c r="O422" s="497">
        <f t="shared" ca="1" si="185"/>
        <v>91.300191204588913</v>
      </c>
      <c r="P422" s="497">
        <f t="shared" ca="1" si="186"/>
        <v>91.300191204588913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IFERROR(__xludf.DUMMYFUNCTION("IMPORTRANGE(""https://docs.google.com/spreadsheets/d/1QqKyyYR6Q21VydFLVH3TRQUabQu_ym0Zz7PgGX0-kHA/edit?usp=sharing"",""แผน!EY40"")"),115060)</f>
        <v>115060</v>
      </c>
      <c r="M424" s="93">
        <f ca="1">L424</f>
        <v>115060</v>
      </c>
      <c r="N424" s="93">
        <f>N425+N426+N427+N428</f>
        <v>105050</v>
      </c>
      <c r="O424" s="93">
        <f t="shared" ca="1" si="185"/>
        <v>91.300191204588913</v>
      </c>
      <c r="P424" s="93">
        <f t="shared" ca="1" si="186"/>
        <v>91.300191204588913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84800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20250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IFERROR(__xludf.DUMMYFUNCTION("IMPORTRANGE(""https://docs.google.com/spreadsheets/d/1QqKyyYR6Q21VydFLVH3TRQUabQu_ym0Zz7PgGX0-kHA/edit?usp=sharing"",""แผน!FC40"")"),35)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IFERROR(__xludf.DUMMYFUNCTION("IMPORTRANGE(""https://docs.google.com/spreadsheets/d/1QqKyyYR6Q21VydFLVH3TRQUabQu_ym0Zz7PgGX0-kHA/edit?usp=sharing"",""แผน!FD40"")"),0)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IFERROR(__xludf.DUMMYFUNCTION("IMPORTRANGE(""https://docs.google.com/spreadsheets/d/1QqKyyYR6Q21VydFLVH3TRQUabQu_ym0Zz7PgGX0-kHA/edit?usp=sharing"",""แผน!FF40"")"),35)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120</v>
      </c>
      <c r="J443" s="568">
        <f t="shared" si="196"/>
        <v>120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372400</v>
      </c>
      <c r="M444" s="195">
        <f t="shared" ca="1" si="197"/>
        <v>372400</v>
      </c>
      <c r="N444" s="195">
        <f t="shared" si="197"/>
        <v>254750</v>
      </c>
      <c r="O444" s="195">
        <f t="shared" ref="O444:O449" ca="1" si="198">IF(L444&gt;0,N444*100/L444,0)</f>
        <v>68.40762620837809</v>
      </c>
      <c r="P444" s="195">
        <f t="shared" ref="P444:P449" ca="1" si="199">IF(M444&gt;0,N444*100/M444,0)</f>
        <v>68.40762620837809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372400</v>
      </c>
      <c r="M446" s="93">
        <f t="shared" ca="1" si="200"/>
        <v>372400</v>
      </c>
      <c r="N446" s="93">
        <f t="shared" si="200"/>
        <v>254750</v>
      </c>
      <c r="O446" s="93">
        <f t="shared" ca="1" si="198"/>
        <v>68.40762620837809</v>
      </c>
      <c r="P446" s="93">
        <f t="shared" ca="1" si="199"/>
        <v>68.40762620837809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372400</v>
      </c>
      <c r="M447" s="497">
        <f t="shared" ca="1" si="201"/>
        <v>372400</v>
      </c>
      <c r="N447" s="497">
        <f t="shared" si="201"/>
        <v>254750</v>
      </c>
      <c r="O447" s="497">
        <f t="shared" ca="1" si="198"/>
        <v>68.40762620837809</v>
      </c>
      <c r="P447" s="497">
        <f t="shared" ca="1" si="199"/>
        <v>68.40762620837809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IFERROR(__xludf.DUMMYFUNCTION("IMPORTRANGE(""https://docs.google.com/spreadsheets/d/1QqKyyYR6Q21VydFLVH3TRQUabQu_ym0Zz7PgGX0-kHA/edit?usp=sharing"",""แผน!FJ40"")"),372400)</f>
        <v>372400</v>
      </c>
      <c r="M449" s="93">
        <f ca="1">L449</f>
        <v>372400</v>
      </c>
      <c r="N449" s="93">
        <f>N450+N451+N452+N453</f>
        <v>254750</v>
      </c>
      <c r="O449" s="93">
        <f t="shared" ca="1" si="198"/>
        <v>68.40762620837809</v>
      </c>
      <c r="P449" s="93">
        <f t="shared" ca="1" si="199"/>
        <v>68.40762620837809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53480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112000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65000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24270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IFERROR(__xludf.DUMMYFUNCTION("IMPORTRANGE(""https://docs.google.com/spreadsheets/d/1QqKyyYR6Q21VydFLVH3TRQUabQu_ym0Zz7PgGX0-kHA/edit?usp=sharing"",""แผน!FN40"")"),50)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IFERROR(__xludf.DUMMYFUNCTION("IMPORTRANGE(""https://docs.google.com/spreadsheets/d/1QqKyyYR6Q21VydFLVH3TRQUabQu_ym0Zz7PgGX0-kHA/edit?usp=sharing"",""แผน!FO40"")"),120)</f>
        <v>120</v>
      </c>
      <c r="J462" s="215">
        <v>120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IFERROR(__xludf.DUMMYFUNCTION("IMPORTRANGE(""https://docs.google.com/spreadsheets/d/1QqKyyYR6Q21VydFLVH3TRQUabQu_ym0Zz7PgGX0-kHA/edit?usp=sharing"",""แผน!FO40"")"),120)</f>
        <v>120</v>
      </c>
      <c r="J463" s="215">
        <v>120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IFERROR(__xludf.DUMMYFUNCTION("IMPORTRANGE(""https://docs.google.com/spreadsheets/d/1QqKyyYR6Q21VydFLVH3TRQUabQu_ym0Zz7PgGX0-kHA/edit?usp=sharing"",""แผน!FN40"")"),50)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IFERROR(__xludf.DUMMYFUNCTION("IMPORTRANGE(""https://docs.google.com/spreadsheets/d/1QqKyyYR6Q21VydFLVH3TRQUabQu_ym0Zz7PgGX0-kHA/edit?usp=sharing"",""แผน!FX40"")"),131)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IFERROR(__xludf.DUMMYFUNCTION("IMPORTRANGE(""https://docs.google.com/spreadsheets/d/1QqKyyYR6Q21VydFLVH3TRQUabQu_ym0Zz7PgGX0-kHA/edit?usp=sharing"",""แผน!FW40"")"),1300)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1172838</v>
      </c>
      <c r="M467" s="195">
        <f t="shared" ca="1" si="206"/>
        <v>1172838</v>
      </c>
      <c r="N467" s="195">
        <f t="shared" si="206"/>
        <v>249911</v>
      </c>
      <c r="O467" s="195">
        <f t="shared" ref="O467:O472" ca="1" si="207">IF(L467&gt;0,N467*100/L467,0)</f>
        <v>21.308228416882809</v>
      </c>
      <c r="P467" s="195">
        <f t="shared" ref="P467:P472" ca="1" si="208">IF(M467&gt;0,N467*100/M467,0)</f>
        <v>21.308228416882809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1172838</v>
      </c>
      <c r="M469" s="93">
        <f t="shared" ca="1" si="209"/>
        <v>1172838</v>
      </c>
      <c r="N469" s="93">
        <f t="shared" si="209"/>
        <v>249911</v>
      </c>
      <c r="O469" s="93">
        <f t="shared" ca="1" si="207"/>
        <v>21.308228416882809</v>
      </c>
      <c r="P469" s="93">
        <f t="shared" ca="1" si="208"/>
        <v>21.308228416882809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1172838</v>
      </c>
      <c r="M470" s="497">
        <f t="shared" ca="1" si="210"/>
        <v>1172838</v>
      </c>
      <c r="N470" s="497">
        <f t="shared" si="210"/>
        <v>249911</v>
      </c>
      <c r="O470" s="497">
        <f t="shared" ca="1" si="207"/>
        <v>21.308228416882809</v>
      </c>
      <c r="P470" s="497">
        <f t="shared" ca="1" si="208"/>
        <v>21.308228416882809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IFERROR(__xludf.DUMMYFUNCTION("IMPORTRANGE(""https://docs.google.com/spreadsheets/d/1QqKyyYR6Q21VydFLVH3TRQUabQu_ym0Zz7PgGX0-kHA/edit?usp=sharing"",""แผน!FS40"")"),1172838)</f>
        <v>1172838</v>
      </c>
      <c r="M472" s="93">
        <f ca="1">L472</f>
        <v>1172838</v>
      </c>
      <c r="N472" s="93">
        <f>N473+N474+N475+N476</f>
        <v>249911</v>
      </c>
      <c r="O472" s="93">
        <f t="shared" ca="1" si="207"/>
        <v>21.308228416882809</v>
      </c>
      <c r="P472" s="93">
        <f t="shared" ca="1" si="208"/>
        <v>21.308228416882809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142461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64567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42883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IFERROR(__xludf.DUMMYFUNCTION("IMPORTRANGE(""https://docs.google.com/spreadsheets/d/1QqKyyYR6Q21VydFLVH3TRQUabQu_ym0Zz7PgGX0-kHA/edit?usp=sharing"",""แผน!GB40"")"),13)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35301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338611</v>
      </c>
      <c r="M544" s="155">
        <f t="shared" ca="1" si="236"/>
        <v>338611</v>
      </c>
      <c r="N544" s="155">
        <f t="shared" si="236"/>
        <v>237536</v>
      </c>
      <c r="O544" s="155">
        <f t="shared" ref="O544:O549" ca="1" si="237">IF(L544&gt;0,N544*100/L544,0)</f>
        <v>70.150113256805</v>
      </c>
      <c r="P544" s="155">
        <f t="shared" ref="P544:P549" ca="1" si="238">IF(M544&gt;0,N544*100/M544,0)</f>
        <v>70.150113256805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338611</v>
      </c>
      <c r="M546" s="93">
        <f t="shared" ca="1" si="240"/>
        <v>338611</v>
      </c>
      <c r="N546" s="93">
        <f t="shared" si="240"/>
        <v>237536</v>
      </c>
      <c r="O546" s="93">
        <f t="shared" ca="1" si="237"/>
        <v>70.150113256805</v>
      </c>
      <c r="P546" s="93">
        <f t="shared" ca="1" si="238"/>
        <v>70.150113256805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338611</v>
      </c>
      <c r="M547" s="497">
        <f t="shared" ca="1" si="241"/>
        <v>338611</v>
      </c>
      <c r="N547" s="497">
        <f t="shared" si="241"/>
        <v>237536</v>
      </c>
      <c r="O547" s="497">
        <f t="shared" ca="1" si="237"/>
        <v>70.150113256805</v>
      </c>
      <c r="P547" s="497">
        <f t="shared" ca="1" si="238"/>
        <v>70.150113256805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IFERROR(__xludf.DUMMYFUNCTION("IMPORTRANGE(""https://docs.google.com/spreadsheets/d/1QqKyyYR6Q21VydFLVH3TRQUabQu_ym0Zz7PgGX0-kHA/edit?usp=sharing"",""แผน!HB40"")"),338611)</f>
        <v>338611</v>
      </c>
      <c r="M549" s="93">
        <f ca="1">L549</f>
        <v>338611</v>
      </c>
      <c r="N549" s="93">
        <f>N550+N551+N552+N553+N554</f>
        <v>237536</v>
      </c>
      <c r="O549" s="93">
        <f t="shared" ca="1" si="237"/>
        <v>70.150113256805</v>
      </c>
      <c r="P549" s="93">
        <f t="shared" ca="1" si="238"/>
        <v>70.150113256805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64557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156262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16717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35301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IFERROR(__xludf.DUMMYFUNCTION("IMPORTRANGE(""https://docs.google.com/spreadsheets/d/1QqKyyYR6Q21VydFLVH3TRQUabQu_ym0Zz7PgGX0-kHA/edit?usp=sharing"",""แผน!HH40"")"),35301)</f>
        <v>35301</v>
      </c>
      <c r="J560" s="193">
        <f t="shared" ref="J560:J561" si="247">J562+J564+J566</f>
        <v>35302.75</v>
      </c>
      <c r="K560" s="411">
        <f t="shared" ca="1" si="246"/>
        <v>100.00495736664683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IFERROR(__xludf.DUMMYFUNCTION("IMPORTRANGE(""https://docs.google.com/spreadsheets/d/1QqKyyYR6Q21VydFLVH3TRQUabQu_ym0Zz7PgGX0-kHA/edit?usp=sharing"",""แผน!HG40"")"),5276)</f>
        <v>5276</v>
      </c>
      <c r="J561" s="193">
        <f t="shared" si="247"/>
        <v>5276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31360.240000000002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4781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2765.09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327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1177.42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IFERROR(__xludf.DUMMYFUNCTION("IMPORTRANGE(""https://docs.google.com/spreadsheets/d/1QqKyyYR6Q21VydFLVH3TRQUabQu_ym0Zz7PgGX0-kHA/edit?usp=sharing"",""แผน!HH40"")"),35301)</f>
        <v>35301</v>
      </c>
      <c r="J568" s="679">
        <f t="shared" ref="J568:J569" si="248">J570+J572+J574</f>
        <v>35303.448000000004</v>
      </c>
      <c r="K568" s="411">
        <f t="shared" ref="K568:K569" ca="1" si="249">IF(I568&gt;0,J568*100/I568,0)</f>
        <v>100.00693464774369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IFERROR(__xludf.DUMMYFUNCTION("IMPORTRANGE(""https://docs.google.com/spreadsheets/d/1QqKyyYR6Q21VydFLVH3TRQUabQu_ym0Zz7PgGX0-kHA/edit?usp=sharing"",""แผน!HG40"")"),5276)</f>
        <v>5276</v>
      </c>
      <c r="J569" s="679">
        <f t="shared" si="248"/>
        <v>5276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32116.240000000002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4864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1967.0830000000001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232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1220.125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IFERROR(__xludf.DUMMYFUNCTION("IMPORTRANGE(""https://docs.google.com/spreadsheets/d/1QqKyyYR6Q21VydFLVH3TRQUabQu_ym0Zz7PgGX0-kHA/edit?usp=sharing"",""แผน!HH40"")"),35301)</f>
        <v>35301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IFERROR(__xludf.DUMMYFUNCTION("IMPORTRANGE(""https://docs.google.com/spreadsheets/d/1QqKyyYR6Q21VydFLVH3TRQUabQu_ym0Zz7PgGX0-kHA/edit?usp=sharing"",""แผน!HG40"")"),5276)</f>
        <v>5276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1102.94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IFERROR(__xludf.DUMMYFUNCTION("IMPORTRANGE(""https://docs.google.com/spreadsheets/d/1QqKyyYR6Q21VydFLVH3TRQUabQu_ym0Zz7PgGX0-kHA/edit?usp=sharing"",""แผน!HJ40"")"),1102.94)</f>
        <v>1102.94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IFERROR(__xludf.DUMMYFUNCTION("IMPORTRANGE(""https://docs.google.com/spreadsheets/d/1QqKyyYR6Q21VydFLVH3TRQUabQu_ym0Zz7PgGX0-kHA/edit?usp=sharing"",""แผน!HI40"")"),115)</f>
        <v>115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IFERROR(__xludf.DUMMYFUNCTION("IMPORTRANGE(""https://docs.google.com/spreadsheets/d/1QqKyyYR6Q21VydFLVH3TRQUabQu_ym0Zz7PgGX0-kHA/edit?usp=sharing"",""แผน!HL40"")"),6)</f>
        <v>6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IFERROR(__xludf.DUMMYFUNCTION("IMPORTRANGE(""https://docs.google.com/spreadsheets/d/1QqKyyYR6Q21VydFLVH3TRQUabQu_ym0Zz7PgGX0-kHA/edit?usp=sharing"",""แผน!HK40"")"),2)</f>
        <v>2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71</v>
      </c>
      <c r="K628" s="740">
        <f ca="1">IF(I628&gt;0,J628*100/I628,0)</f>
        <v>71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383680</v>
      </c>
      <c r="M629" s="195">
        <f t="shared" ca="1" si="263"/>
        <v>383680</v>
      </c>
      <c r="N629" s="195">
        <f t="shared" si="263"/>
        <v>186837</v>
      </c>
      <c r="O629" s="195">
        <f t="shared" ref="O629:O634" ca="1" si="264">IF(L629&gt;0,N629*100/L629,0)</f>
        <v>48.696048790658885</v>
      </c>
      <c r="P629" s="195">
        <f t="shared" ref="P629:P634" ca="1" si="265">IF(M629&gt;0,N629*100/M629,0)</f>
        <v>48.696048790658885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383680</v>
      </c>
      <c r="M631" s="93">
        <f t="shared" ca="1" si="266"/>
        <v>383680</v>
      </c>
      <c r="N631" s="93">
        <f t="shared" si="266"/>
        <v>186837</v>
      </c>
      <c r="O631" s="93">
        <f t="shared" ca="1" si="264"/>
        <v>48.696048790658885</v>
      </c>
      <c r="P631" s="93">
        <f t="shared" ca="1" si="265"/>
        <v>48.696048790658885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383680</v>
      </c>
      <c r="M632" s="497">
        <f t="shared" ca="1" si="267"/>
        <v>383680</v>
      </c>
      <c r="N632" s="497">
        <f t="shared" si="267"/>
        <v>186837</v>
      </c>
      <c r="O632" s="497">
        <f t="shared" ca="1" si="264"/>
        <v>48.696048790658885</v>
      </c>
      <c r="P632" s="497">
        <f t="shared" ca="1" si="265"/>
        <v>48.696048790658885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IFERROR(__xludf.DUMMYFUNCTION("IMPORTRANGE(""https://docs.google.com/spreadsheets/d/1QqKyyYR6Q21VydFLVH3TRQUabQu_ym0Zz7PgGX0-kHA/edit?usp=sharing"",""แผน!HN40"")"),383680)</f>
        <v>383680</v>
      </c>
      <c r="M634" s="93">
        <f ca="1">L634</f>
        <v>383680</v>
      </c>
      <c r="N634" s="93">
        <f>N635+N636+N637+N638</f>
        <v>186837</v>
      </c>
      <c r="O634" s="93">
        <f t="shared" ca="1" si="264"/>
        <v>48.696048790658885</v>
      </c>
      <c r="P634" s="93">
        <f t="shared" ca="1" si="265"/>
        <v>48.696048790658885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64557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122280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IFERROR(__xludf.DUMMYFUNCTION("IMPORTRANGE(""https://docs.google.com/spreadsheets/d/1QqKyyYR6Q21VydFLVH3TRQUabQu_ym0Zz7PgGX0-kHA/edit?usp=sharing"",""แผน!HR40"")"),2)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IFERROR(__xludf.DUMMYFUNCTION("IMPORTRANGE(""https://docs.google.com/spreadsheets/d/1QqKyyYR6Q21VydFLVH3TRQUabQu_ym0Zz7PgGX0-kHA/edit?usp=sharing"",""แผน!HR40"")"),2)</f>
        <v>2</v>
      </c>
      <c r="J644" s="215">
        <v>2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IFERROR(__xludf.DUMMYFUNCTION("IMPORTRANGE(""https://docs.google.com/spreadsheets/d/1XWAQStnk-4SwqDmLtmXYiTMKHgktTP8We1SCoS47DrQ/edit?usp=sharing"",""จัดที่ดิน!AS40"")"),49)</f>
        <v>49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IFERROR(__xludf.DUMMYFUNCTION("IMPORTRANGE(""https://docs.google.com/spreadsheets/d/1XWAQStnk-4SwqDmLtmXYiTMKHgktTP8We1SCoS47DrQ/edit?usp=sharing"",""จัดที่ดิน!AT40"")"),32.2)</f>
        <v>32.200000000000003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IFERROR(__xludf.DUMMYFUNCTION("IMPORTRANGE(""https://docs.google.com/spreadsheets/d/1QqKyyYR6Q21VydFLVH3TRQUabQu_ym0Zz7PgGX0-kHA/edit?usp=sharing"",""แผน!HS40"")"),100)</f>
        <v>100</v>
      </c>
      <c r="J647" s="270">
        <f ca="1">IFERROR(__xludf.DUMMYFUNCTION("IMPORTRANGE(""https://docs.google.com/spreadsheets/d/1XWAQStnk-4SwqDmLtmXYiTMKHgktTP8We1SCoS47DrQ/edit?usp=sharing"",""จัดที่ดิน!AU40"")"),82)</f>
        <v>82</v>
      </c>
      <c r="K647" s="163">
        <f t="shared" ca="1" si="271"/>
        <v>82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IFERROR(__xludf.DUMMYFUNCTION("IMPORTRANGE(""https://docs.google.com/spreadsheets/d/1XWAQStnk-4SwqDmLtmXYiTMKHgktTP8We1SCoS47DrQ/edit?usp=sharing"",""จัดที่ดิน!AV40"")"),52.55)</f>
        <v>52.55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IFERROR(__xludf.DUMMYFUNCTION("IMPORTRANGE(""https://docs.google.com/spreadsheets/d/1QqKyyYR6Q21VydFLVH3TRQUabQu_ym0Zz7PgGX0-kHA/edit?usp=sharing"",""แผน!HS40"")"),100)</f>
        <v>100</v>
      </c>
      <c r="J649" s="270">
        <f ca="1">IFERROR(__xludf.DUMMYFUNCTION("IMPORTRANGE(""https://docs.google.com/spreadsheets/d/1XWAQStnk-4SwqDmLtmXYiTMKHgktTP8We1SCoS47DrQ/edit?usp=sharing"",""จัดที่ดิน!AW40"")"),84)</f>
        <v>84</v>
      </c>
      <c r="K649" s="163">
        <f t="shared" ca="1" si="271"/>
        <v>84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IFERROR(__xludf.DUMMYFUNCTION("IMPORTRANGE(""https://docs.google.com/spreadsheets/d/1XWAQStnk-4SwqDmLtmXYiTMKHgktTP8We1SCoS47DrQ/edit?usp=sharing"",""จัดที่ดิน!AX40"")"),53.99)</f>
        <v>53.99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IFERROR(__xludf.DUMMYFUNCTION("IMPORTRANGE(""https://docs.google.com/spreadsheets/d/1QqKyyYR6Q21VydFLVH3TRQUabQu_ym0Zz7PgGX0-kHA/edit?usp=sharing"",""แผน!HS40"")"),100)</f>
        <v>100</v>
      </c>
      <c r="J651" s="270">
        <f ca="1">IFERROR(__xludf.DUMMYFUNCTION("IMPORTRANGE(""https://docs.google.com/spreadsheets/d/1XWAQStnk-4SwqDmLtmXYiTMKHgktTP8We1SCoS47DrQ/edit?usp=sharing"",""จัดที่ดิน!AY40"")"),71)</f>
        <v>71</v>
      </c>
      <c r="K651" s="163">
        <f t="shared" ca="1" si="271"/>
        <v>71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IFERROR(__xludf.DUMMYFUNCTION("IMPORTRANGE(""https://docs.google.com/spreadsheets/d/1XWAQStnk-4SwqDmLtmXYiTMKHgktTP8We1SCoS47DrQ/edit?usp=sharing"",""จัดที่ดิน!AZ40"")"),49.17)</f>
        <v>49.17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IFERROR(__xludf.DUMMYFUNCTION("IMPORTRANGE(""https://docs.google.com/spreadsheets/d/1QqKyyYR6Q21VydFLVH3TRQUabQu_ym0Zz7PgGX0-kHA/edit?usp=sharing"",""แผน!HW40"")"),0)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IFERROR(__xludf.DUMMYFUNCTION("IMPORTRANGE(""https://docs.google.com/spreadsheets/d/1QqKyyYR6Q21VydFLVH3TRQUabQu_ym0Zz7PgGX0-kHA/edit?usp=sharing"",""แผน!IC40"")"),0)</f>
        <v>0</v>
      </c>
      <c r="J699" s="270">
        <f ca="1">IFERROR(__xludf.DUMMYFUNCTION("IMPORTRANGE(""https://docs.google.com/spreadsheets/d/1XWAQStnk-4SwqDmLtmXYiTMKHgktTP8We1SCoS47DrQ/edit?usp=sharing"",""จัดที่ดิน!BB40"")"),0)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IFERROR(__xludf.DUMMYFUNCTION("IMPORTRANGE(""https://docs.google.com/spreadsheets/d/1QqKyyYR6Q21VydFLVH3TRQUabQu_ym0Zz7PgGX0-kHA/edit?usp=sharing"",""แผน!ID40"")"),0)</f>
        <v>0</v>
      </c>
      <c r="J700" s="270">
        <f ca="1">IFERROR(__xludf.DUMMYFUNCTION("IMPORTRANGE(""https://docs.google.com/spreadsheets/d/1XWAQStnk-4SwqDmLtmXYiTMKHgktTP8We1SCoS47DrQ/edit?usp=sharing"",""จัดที่ดิน!BD40"")"),0)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IFERROR(__xludf.DUMMYFUNCTION("IMPORTRANGE(""https://docs.google.com/spreadsheets/d/1QqKyyYR6Q21VydFLVH3TRQUabQu_ym0Zz7PgGX0-kHA/edit?usp=sharing"",""แผน!IE40"")"),0)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IFERROR(__xludf.DUMMYFUNCTION("IMPORTRANGE(""https://docs.google.com/spreadsheets/d/1QqKyyYR6Q21VydFLVH3TRQUabQu_ym0Zz7PgGX0-kHA/edit?usp=sharing"",""แผน!IG40"")"),0)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IFERROR(__xludf.DUMMYFUNCTION("IMPORTRANGE(""https://docs.google.com/spreadsheets/d/1QqKyyYR6Q21VydFLVH3TRQUabQu_ym0Zz7PgGX0-kHA/edit?usp=sharing"",""แผน!II40"")"),0)</f>
        <v>0</v>
      </c>
      <c r="J720" s="270">
        <f ca="1">IFERROR(__xludf.DUMMYFUNCTION("IMPORTRANGE(""https://docs.google.com/spreadsheets/d/1XWAQStnk-4SwqDmLtmXYiTMKHgktTP8We1SCoS47DrQ/edit?usp=sharing"",""จัดที่ดิน!BH40"")"),0)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IFERROR(__xludf.DUMMYFUNCTION("IMPORTRANGE(""https://docs.google.com/spreadsheets/d/1QqKyyYR6Q21VydFLVH3TRQUabQu_ym0Zz7PgGX0-kHA/edit?usp=sharing"",""แผน!IJ40"")"),0)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IFERROR(__xludf.DUMMYFUNCTION("IMPORTRANGE(""https://docs.google.com/spreadsheets/d/1QqKyyYR6Q21VydFLVH3TRQUabQu_ym0Zz7PgGX0-kHA/edit?usp=sharing"",""แผน!IK40"")"),0)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IFERROR(__xludf.DUMMYFUNCTION("IMPORTRANGE(""https://docs.google.com/spreadsheets/d/1QqKyyYR6Q21VydFLVH3TRQUabQu_ym0Zz7PgGX0-kHA/edit?usp=sharing"",""แผน!IL40"")"),0)</f>
        <v>0</v>
      </c>
      <c r="J723" s="270">
        <f ca="1">IFERROR(__xludf.DUMMYFUNCTION("IMPORTRANGE(""https://docs.google.com/spreadsheets/d/1XWAQStnk-4SwqDmLtmXYiTMKHgktTP8We1SCoS47DrQ/edit?usp=sharing"",""จัดที่ดิน!BM40"")"),0)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IFERROR(__xludf.DUMMYFUNCTION("IMPORTRANGE(""https://docs.google.com/spreadsheets/d/1QqKyyYR6Q21VydFLVH3TRQUabQu_ym0Zz7PgGX0-kHA/edit?usp=sharing"",""แผน!IM40"")"),0)</f>
        <v>0</v>
      </c>
      <c r="J725" s="270">
        <f ca="1">IFERROR(__xludf.DUMMYFUNCTION("IMPORTRANGE(""https://docs.google.com/spreadsheets/d/1XWAQStnk-4SwqDmLtmXYiTMKHgktTP8We1SCoS47DrQ/edit?usp=sharing"",""จัดที่ดิน!BO40"")"),0)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IFERROR(__xludf.DUMMYFUNCTION("IMPORTRANGE(""https://docs.google.com/spreadsheets/d/1QqKyyYR6Q21VydFLVH3TRQUabQu_ym0Zz7PgGX0-kHA/edit?usp=sharing"",""แผน!IN40"")"),0)</f>
        <v>0</v>
      </c>
      <c r="J726" s="270">
        <f ca="1">IFERROR(__xludf.DUMMYFUNCTION("IMPORTRANGE(""https://docs.google.com/spreadsheets/d/1XWAQStnk-4SwqDmLtmXYiTMKHgktTP8We1SCoS47DrQ/edit?usp=sharing"",""จัดที่ดิน!BR40"")"),0)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IFERROR(__xludf.DUMMYFUNCTION("IMPORTRANGE(""https://docs.google.com/spreadsheets/d/1QqKyyYR6Q21VydFLVH3TRQUabQu_ym0Zz7PgGX0-kHA/edit?usp=sharing"",""แผน!IO40"")"),0)</f>
        <v>0</v>
      </c>
      <c r="J728" s="270">
        <f ca="1">IFERROR(__xludf.DUMMYFUNCTION("IMPORTRANGE(""https://docs.google.com/spreadsheets/d/1XWAQStnk-4SwqDmLtmXYiTMKHgktTP8We1SCoS47DrQ/edit?usp=sharing"",""จัดที่ดิน!BT40"")"),0)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IFERROR(__xludf.DUMMYFUNCTION("IMPORTRANGE(""https://docs.google.com/spreadsheets/d/1QqKyyYR6Q21VydFLVH3TRQUabQu_ym0Zz7PgGX0-kHA/edit?usp=sharing"",""แผน!IP40"")"),0)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IFERROR(__xludf.DUMMYFUNCTION("IMPORTRANGE(""https://docs.google.com/spreadsheets/d/1QqKyyYR6Q21VydFLVH3TRQUabQu_ym0Zz7PgGX0-kHA/edit?usp=sharing"",""แผน!JN40"")"),0)</f>
        <v>0</v>
      </c>
      <c r="J800" s="184">
        <f ca="1">IFERROR(__xludf.DUMMYFUNCTION("IMPORTRANGE(""https://docs.google.com/spreadsheets/d/1MaWodYyGHDf7siQLGxnXhG4mBNTNIuy296niS2xXulU/edit?usp=sharing"",""RTK!H40"")"),0)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270">
        <f ca="1">IFERROR(__xludf.DUMMYFUNCTION("IMPORTRANGE(""https://docs.google.com/spreadsheets/d/19vJNZY_5yjcGF2XGBMNZRCAIB0Kwfpjp8YEOfu-bneM/edit?usp=sharing"",""งานกองทุน!F40"")"),4160430.52)</f>
        <v>4160430.52</v>
      </c>
      <c r="K821" s="497">
        <f t="shared" ref="K821:K828" ca="1" si="335">IF(I821&gt;0,J821*100/I821,0)</f>
        <v>68.55975780067223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IFERROR(__xludf.DUMMYFUNCTION("IMPORTRANGE(""https://docs.google.com/spreadsheets/d/19vJNZY_5yjcGF2XGBMNZRCAIB0Kwfpjp8YEOfu-bneM/edit?usp=sharing"",""งานกองทุน!C40"")"),530)</f>
        <v>530</v>
      </c>
      <c r="J822" s="270">
        <f ca="1">IFERROR(__xludf.DUMMYFUNCTION("IMPORTRANGE(""https://docs.google.com/spreadsheets/d/19vJNZY_5yjcGF2XGBMNZRCAIB0Kwfpjp8YEOfu-bneM/edit?usp=sharing"",""งานกองทุน!E40"")"),349)</f>
        <v>349</v>
      </c>
      <c r="K822" s="497">
        <f t="shared" ca="1" si="335"/>
        <v>65.84905660377359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270">
        <f ca="1">IFERROR(__xludf.DUMMYFUNCTION("IMPORTRANGE(""https://docs.google.com/spreadsheets/d/19vJNZY_5yjcGF2XGBMNZRCAIB0Kwfpjp8YEOfu-bneM/edit?usp=sharing"",""งานกองทุน!K40"")"),624607.8)</f>
        <v>624607.80000000005</v>
      </c>
      <c r="K823" s="497">
        <f t="shared" ca="1" si="335"/>
        <v>16.205029807205261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IFERROR(__xludf.DUMMYFUNCTION("IMPORTRANGE(""https://docs.google.com/spreadsheets/d/19vJNZY_5yjcGF2XGBMNZRCAIB0Kwfpjp8YEOfu-bneM/edit?usp=sharing"",""งานกองทุน!H40"")"),233)</f>
        <v>233</v>
      </c>
      <c r="J824" s="270">
        <f ca="1">IFERROR(__xludf.DUMMYFUNCTION("IMPORTRANGE(""https://docs.google.com/spreadsheets/d/19vJNZY_5yjcGF2XGBMNZRCAIB0Kwfpjp8YEOfu-bneM/edit?usp=sharing"",""งานกองทุน!J40"")"),89)</f>
        <v>89</v>
      </c>
      <c r="K824" s="497">
        <f t="shared" ca="1" si="335"/>
        <v>38.197424892703864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IFERROR(__xludf.DUMMYFUNCTION("IMPORTRANGE(""https://docs.google.com/spreadsheets/d/19vJNZY_5yjcGF2XGBMNZRCAIB0Kwfpjp8YEOfu-bneM/edit?usp=sharing"",""งานกองทุน!N40"")"),0)</f>
        <v>0</v>
      </c>
      <c r="J825" s="270">
        <f ca="1">IFERROR(__xludf.DUMMYFUNCTION("IMPORTRANGE(""https://docs.google.com/spreadsheets/d/19vJNZY_5yjcGF2XGBMNZRCAIB0Kwfpjp8YEOfu-bneM/edit?usp=sharing"",""งานกองทุน!P40"")"),92814.66)</f>
        <v>92814.66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IFERROR(__xludf.DUMMYFUNCTION("IMPORTRANGE(""https://docs.google.com/spreadsheets/d/19vJNZY_5yjcGF2XGBMNZRCAIB0Kwfpjp8YEOfu-bneM/edit?usp=sharing"",""งานกองทุน!M40"")"),0)</f>
        <v>0</v>
      </c>
      <c r="J826" s="270">
        <f ca="1">IFERROR(__xludf.DUMMYFUNCTION("IMPORTRANGE(""https://docs.google.com/spreadsheets/d/19vJNZY_5yjcGF2XGBMNZRCAIB0Kwfpjp8YEOfu-bneM/edit?usp=sharing"",""งานกองทุน!O40"")"),2)</f>
        <v>2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IFERROR(__xludf.DUMMYFUNCTION("IMPORTRANGE(""https://docs.google.com/spreadsheets/d/19vJNZY_5yjcGF2XGBMNZRCAIB0Kwfpjp8YEOfu-bneM/edit?usp=sharing"",""งานกองทุน!S40"")"),5080000)</f>
        <v>5080000</v>
      </c>
      <c r="J827" s="270">
        <f ca="1">IFERROR(__xludf.DUMMYFUNCTION("IMPORTRANGE(""https://docs.google.com/spreadsheets/d/19vJNZY_5yjcGF2XGBMNZRCAIB0Kwfpjp8YEOfu-bneM/edit?usp=sharing"",""งานกองทุน!U40"")"),0)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IFERROR(__xludf.DUMMYFUNCTION("IMPORTRANGE(""https://docs.google.com/spreadsheets/d/19vJNZY_5yjcGF2XGBMNZRCAIB0Kwfpjp8YEOfu-bneM/edit?usp=sharing"",""งานกองทุน!R40"")"),203)</f>
        <v>203</v>
      </c>
      <c r="J828" s="504">
        <f ca="1">IFERROR(__xludf.DUMMYFUNCTION("IMPORTRANGE(""https://docs.google.com/spreadsheets/d/19vJNZY_5yjcGF2XGBMNZRCAIB0Kwfpjp8YEOfu-bneM/edit?usp=sharing"",""งานกองทุน!T40"")"),0)</f>
        <v>0</v>
      </c>
      <c r="K828" s="505">
        <f t="shared" ca="1" si="335"/>
        <v>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93EA9-1811-4A1E-BAFE-B178B0179A2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6098853</v>
      </c>
      <c r="M8" s="22">
        <f t="shared" ca="1" si="0"/>
        <v>5484651.9000000004</v>
      </c>
      <c r="N8" s="22">
        <f t="shared" ca="1" si="0"/>
        <v>3636487.69</v>
      </c>
      <c r="O8" s="22">
        <f t="shared" ref="O8:O16" ca="1" si="1">IF(L8&gt;0,N8*100/L8,0)</f>
        <v>59.62576389363705</v>
      </c>
      <c r="P8" s="22">
        <f t="shared" ref="P8:P16" ca="1" si="2">IF(M8&gt;0,N8*100/M8,0)</f>
        <v>66.302980686887338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6098853</v>
      </c>
      <c r="M10" s="30">
        <f t="shared" ca="1" si="3"/>
        <v>5484651.9000000004</v>
      </c>
      <c r="N10" s="30">
        <f t="shared" ca="1" si="3"/>
        <v>3636487.69</v>
      </c>
      <c r="O10" s="30">
        <f t="shared" ca="1" si="1"/>
        <v>59.62576389363705</v>
      </c>
      <c r="P10" s="30">
        <f t="shared" ca="1" si="2"/>
        <v>66.302980686887338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5711553</v>
      </c>
      <c r="M11" s="497">
        <f t="shared" ca="1" si="4"/>
        <v>5097351.9000000004</v>
      </c>
      <c r="N11" s="497">
        <f t="shared" ca="1" si="4"/>
        <v>3249187.69</v>
      </c>
      <c r="O11" s="497">
        <f t="shared" ca="1" si="1"/>
        <v>56.887989833938335</v>
      </c>
      <c r="P11" s="497">
        <f t="shared" ca="1" si="2"/>
        <v>63.742659987826222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5711553</v>
      </c>
      <c r="M13" s="93">
        <f t="shared" ca="1" si="5"/>
        <v>5097351.9000000004</v>
      </c>
      <c r="N13" s="93">
        <f t="shared" ca="1" si="5"/>
        <v>3249187.69</v>
      </c>
      <c r="O13" s="93">
        <f t="shared" ca="1" si="1"/>
        <v>56.887989833938335</v>
      </c>
      <c r="P13" s="93">
        <f t="shared" ca="1" si="2"/>
        <v>63.742659987826222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387300</v>
      </c>
      <c r="M14" s="497">
        <f t="shared" ca="1" si="6"/>
        <v>387300</v>
      </c>
      <c r="N14" s="497">
        <f t="shared" ca="1" si="6"/>
        <v>387300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387300</v>
      </c>
      <c r="M16" s="52">
        <f t="shared" ca="1" si="7"/>
        <v>387300</v>
      </c>
      <c r="N16" s="52">
        <f t="shared" ca="1" si="7"/>
        <v>387300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4165990</v>
      </c>
      <c r="M18" s="22">
        <f t="shared" ca="1" si="8"/>
        <v>3551788.9</v>
      </c>
      <c r="N18" s="22">
        <f t="shared" ca="1" si="8"/>
        <v>2663853.69</v>
      </c>
      <c r="O18" s="22">
        <f t="shared" ref="O18:O26" ca="1" si="9">IF(L18&gt;0,N18*100/L18,0)</f>
        <v>63.942872882556124</v>
      </c>
      <c r="P18" s="22">
        <f t="shared" ref="P18:P26" ca="1" si="10">IF(M18&gt;0,N18*100/M18,0)</f>
        <v>75.000338280239575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4165990</v>
      </c>
      <c r="M20" s="30">
        <f t="shared" ca="1" si="11"/>
        <v>3551788.9</v>
      </c>
      <c r="N20" s="30">
        <f t="shared" ca="1" si="11"/>
        <v>2663853.69</v>
      </c>
      <c r="O20" s="30">
        <f t="shared" ca="1" si="9"/>
        <v>63.942872882556124</v>
      </c>
      <c r="P20" s="30">
        <f t="shared" ca="1" si="10"/>
        <v>75.000338280239575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3778690</v>
      </c>
      <c r="M21" s="497">
        <f t="shared" ca="1" si="12"/>
        <v>3164488.9</v>
      </c>
      <c r="N21" s="497">
        <f t="shared" ca="1" si="12"/>
        <v>2276553.69</v>
      </c>
      <c r="O21" s="497">
        <f t="shared" ca="1" si="9"/>
        <v>60.247167404576722</v>
      </c>
      <c r="P21" s="497">
        <f t="shared" ca="1" si="10"/>
        <v>71.940643874592197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3778690</v>
      </c>
      <c r="M23" s="93">
        <f t="shared" ca="1" si="13"/>
        <v>3164488.9</v>
      </c>
      <c r="N23" s="93">
        <f t="shared" ca="1" si="13"/>
        <v>2276553.69</v>
      </c>
      <c r="O23" s="93">
        <f t="shared" ca="1" si="9"/>
        <v>60.247167404576722</v>
      </c>
      <c r="P23" s="93">
        <f t="shared" ca="1" si="10"/>
        <v>71.940643874592197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387300</v>
      </c>
      <c r="M24" s="497">
        <f t="shared" ca="1" si="14"/>
        <v>387300</v>
      </c>
      <c r="N24" s="497">
        <f t="shared" ca="1" si="14"/>
        <v>387300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387300</v>
      </c>
      <c r="M26" s="52">
        <f t="shared" ca="1" si="15"/>
        <v>387300</v>
      </c>
      <c r="N26" s="52">
        <f t="shared" ca="1" si="15"/>
        <v>387300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1932863</v>
      </c>
      <c r="M28" s="22">
        <f t="shared" ca="1" si="16"/>
        <v>1932863</v>
      </c>
      <c r="N28" s="22">
        <f t="shared" si="16"/>
        <v>972634</v>
      </c>
      <c r="O28" s="22">
        <f t="shared" ref="O28:O37" ca="1" si="17">IF(L28&gt;0,N28*100/L28,0)</f>
        <v>50.320897032019339</v>
      </c>
      <c r="P28" s="22">
        <f t="shared" ref="P28:P37" ca="1" si="18">IF(M28&gt;0,N28*100/M28,0)</f>
        <v>50.320897032019339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1932863</v>
      </c>
      <c r="M30" s="30">
        <f t="shared" ca="1" si="19"/>
        <v>1932863</v>
      </c>
      <c r="N30" s="30">
        <f t="shared" si="19"/>
        <v>972634</v>
      </c>
      <c r="O30" s="30">
        <f t="shared" ca="1" si="17"/>
        <v>50.320897032019339</v>
      </c>
      <c r="P30" s="30">
        <f t="shared" ca="1" si="18"/>
        <v>50.320897032019339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1932863</v>
      </c>
      <c r="M31" s="497">
        <f t="shared" ca="1" si="20"/>
        <v>1932863</v>
      </c>
      <c r="N31" s="497">
        <f t="shared" si="20"/>
        <v>972634</v>
      </c>
      <c r="O31" s="497">
        <f t="shared" ca="1" si="17"/>
        <v>50.320897032019339</v>
      </c>
      <c r="P31" s="497">
        <f t="shared" ca="1" si="18"/>
        <v>50.320897032019339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1932863</v>
      </c>
      <c r="M33" s="93">
        <f t="shared" ca="1" si="21"/>
        <v>1932863</v>
      </c>
      <c r="N33" s="93">
        <f t="shared" si="21"/>
        <v>972634</v>
      </c>
      <c r="O33" s="93">
        <f t="shared" ca="1" si="17"/>
        <v>50.320897032019339</v>
      </c>
      <c r="P33" s="93">
        <f t="shared" ca="1" si="18"/>
        <v>50.320897032019339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4165990</v>
      </c>
      <c r="M37" s="870">
        <f t="shared" ca="1" si="24"/>
        <v>3551788.9</v>
      </c>
      <c r="N37" s="870">
        <f t="shared" ca="1" si="24"/>
        <v>2663853.69</v>
      </c>
      <c r="O37" s="870">
        <f t="shared" ca="1" si="17"/>
        <v>63.942872882556124</v>
      </c>
      <c r="P37" s="870">
        <f t="shared" ca="1" si="18"/>
        <v>75.000338280239575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632700</v>
      </c>
      <c r="M41" s="85">
        <f t="shared" ca="1" si="25"/>
        <v>643858.9</v>
      </c>
      <c r="N41" s="85">
        <f t="shared" ca="1" si="25"/>
        <v>407907</v>
      </c>
      <c r="O41" s="85">
        <f t="shared" ref="O41:O49" ca="1" si="26">IF(L41&gt;0,N41*100/L41,0)</f>
        <v>64.470839260312943</v>
      </c>
      <c r="P41" s="85">
        <f t="shared" ref="P41:P49" ca="1" si="27">IF(M41&gt;0,N41*100/M41,0)</f>
        <v>63.353476980748418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632700</v>
      </c>
      <c r="M43" s="92">
        <f t="shared" ca="1" si="28"/>
        <v>643858.9</v>
      </c>
      <c r="N43" s="92">
        <f t="shared" ca="1" si="28"/>
        <v>407907</v>
      </c>
      <c r="O43" s="92">
        <f t="shared" ca="1" si="26"/>
        <v>64.470839260312943</v>
      </c>
      <c r="P43" s="92">
        <f t="shared" ca="1" si="27"/>
        <v>63.353476980748418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632700</v>
      </c>
      <c r="M44" s="497">
        <f t="shared" ca="1" si="29"/>
        <v>643858.9</v>
      </c>
      <c r="N44" s="497">
        <f t="shared" ca="1" si="29"/>
        <v>407907</v>
      </c>
      <c r="O44" s="497">
        <f t="shared" ca="1" si="26"/>
        <v>64.470839260312943</v>
      </c>
      <c r="P44" s="497">
        <f t="shared" ca="1" si="27"/>
        <v>63.353476980748418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IFERROR(__xludf.DUMMYFUNCTION("IMPORTRANGE(""https://docs.google.com/spreadsheets/d/1MeEWN-I1oV_STSDYn1IFDPWt_1FKiwhDph83XaGc0o0/edit?usp=sharing"",""งบพรบ!M41"")"),632700)</f>
        <v>632700</v>
      </c>
      <c r="M46" s="93">
        <f ca="1">IFERROR(__xludf.DUMMYFUNCTION("IMPORTRANGE(""https://docs.google.com/spreadsheets/d/1MeEWN-I1oV_STSDYn1IFDPWt_1FKiwhDph83XaGc0o0/edit?usp=sharing"",""งบพรบ!R41"")"),643858.9)</f>
        <v>643858.9</v>
      </c>
      <c r="N46" s="93">
        <f ca="1">IFERROR(__xludf.DUMMYFUNCTION("IMPORTRANGE(""https://docs.google.com/spreadsheets/d/1MeEWN-I1oV_STSDYn1IFDPWt_1FKiwhDph83XaGc0o0/edit?usp=sharing"",""งบพรบ!T41"")"),407907)</f>
        <v>407907</v>
      </c>
      <c r="O46" s="93">
        <f t="shared" ca="1" si="26"/>
        <v>64.470839260312943</v>
      </c>
      <c r="P46" s="93">
        <f t="shared" ca="1" si="27"/>
        <v>63.353476980748418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IFERROR(__xludf.DUMMYFUNCTION("IMPORTRANGE(""https://docs.google.com/spreadsheets/d/1MeEWN-I1oV_STSDYn1IFDPWt_1FKiwhDph83XaGc0o0/edit?usp=sharing"",""งบพรบ!P41"")"),0)</f>
        <v>0</v>
      </c>
      <c r="M49" s="52">
        <f ca="1">IFERROR(__xludf.DUMMYFUNCTION("IMPORTRANGE(""https://docs.google.com/spreadsheets/d/1MeEWN-I1oV_STSDYn1IFDPWt_1FKiwhDph83XaGc0o0/edit?usp=sharing"",""งบพรบ!S41"")"),0)</f>
        <v>0</v>
      </c>
      <c r="N49" s="52">
        <f ca="1">IFERROR(__xludf.DUMMYFUNCTION("IMPORTRANGE(""https://docs.google.com/spreadsheets/d/1MeEWN-I1oV_STSDYn1IFDPWt_1FKiwhDph83XaGc0o0/edit?usp=sharing"",""งบพรบ!U41"")"),0)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1011300</v>
      </c>
      <c r="M53" s="116">
        <f t="shared" ca="1" si="31"/>
        <v>942950</v>
      </c>
      <c r="N53" s="116">
        <f t="shared" ca="1" si="31"/>
        <v>742948.69</v>
      </c>
      <c r="O53" s="116">
        <f t="shared" ref="O53:O61" ca="1" si="32">IF(L53&gt;0,N53*100/L53,0)</f>
        <v>73.46471769010185</v>
      </c>
      <c r="P53" s="116">
        <f t="shared" ref="P53:P61" ca="1" si="33">IF(M53&gt;0,N53*100/M53,0)</f>
        <v>78.789828728988809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1011300</v>
      </c>
      <c r="M55" s="123">
        <f t="shared" ca="1" si="34"/>
        <v>942950</v>
      </c>
      <c r="N55" s="123">
        <f t="shared" ca="1" si="34"/>
        <v>742948.69</v>
      </c>
      <c r="O55" s="123">
        <f t="shared" ca="1" si="32"/>
        <v>73.46471769010185</v>
      </c>
      <c r="P55" s="123">
        <f t="shared" ca="1" si="33"/>
        <v>78.789828728988809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845400</v>
      </c>
      <c r="M56" s="497">
        <f t="shared" ca="1" si="35"/>
        <v>777050</v>
      </c>
      <c r="N56" s="497">
        <f t="shared" ca="1" si="35"/>
        <v>577048.68999999994</v>
      </c>
      <c r="O56" s="497">
        <f t="shared" ca="1" si="32"/>
        <v>68.257474568251709</v>
      </c>
      <c r="P56" s="497">
        <f t="shared" ca="1" si="33"/>
        <v>74.261461939386123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IFERROR(__xludf.DUMMYFUNCTION("IMPORTRANGE(""https://docs.google.com/spreadsheets/d/1MeEWN-I1oV_STSDYn1IFDPWt_1FKiwhDph83XaGc0o0/edit?usp=sharing"",""งบพรบ!W41"")"),845400)</f>
        <v>845400</v>
      </c>
      <c r="M58" s="93">
        <f ca="1">IFERROR(__xludf.DUMMYFUNCTION("IMPORTRANGE(""https://docs.google.com/spreadsheets/d/1MeEWN-I1oV_STSDYn1IFDPWt_1FKiwhDph83XaGc0o0/edit?usp=sharing"",""งบพรบ!AB41"")"),777050)</f>
        <v>777050</v>
      </c>
      <c r="N58" s="93">
        <f ca="1">IFERROR(__xludf.DUMMYFUNCTION("IMPORTRANGE(""https://docs.google.com/spreadsheets/d/1MeEWN-I1oV_STSDYn1IFDPWt_1FKiwhDph83XaGc0o0/edit?usp=sharing"",""งบพรบ!AD41"")"),577048.69)</f>
        <v>577048.68999999994</v>
      </c>
      <c r="O58" s="93">
        <f t="shared" ca="1" si="32"/>
        <v>68.257474568251709</v>
      </c>
      <c r="P58" s="93">
        <f t="shared" ca="1" si="33"/>
        <v>74.261461939386123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165900</v>
      </c>
      <c r="M59" s="497">
        <f t="shared" ca="1" si="36"/>
        <v>165900</v>
      </c>
      <c r="N59" s="497">
        <f t="shared" ca="1" si="36"/>
        <v>165900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IFERROR(__xludf.DUMMYFUNCTION("IMPORTRANGE(""https://docs.google.com/spreadsheets/d/1MeEWN-I1oV_STSDYn1IFDPWt_1FKiwhDph83XaGc0o0/edit?usp=sharing"",""งบพรบ!Z41"")"),165900)</f>
        <v>165900</v>
      </c>
      <c r="M61" s="52">
        <f ca="1">IFERROR(__xludf.DUMMYFUNCTION("IMPORTRANGE(""https://docs.google.com/spreadsheets/d/1MeEWN-I1oV_STSDYn1IFDPWt_1FKiwhDph83XaGc0o0/edit?usp=sharing"",""งบพรบ!AC41"")"),165900)</f>
        <v>165900</v>
      </c>
      <c r="N61" s="52">
        <f ca="1">IFERROR(__xludf.DUMMYFUNCTION("IMPORTRANGE(""https://docs.google.com/spreadsheets/d/1MeEWN-I1oV_STSDYn1IFDPWt_1FKiwhDph83XaGc0o0/edit?usp=sharing"",""งบพรบ!AE41"")"),165900)</f>
        <v>165900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697000</v>
      </c>
      <c r="M66" s="155">
        <f t="shared" ca="1" si="39"/>
        <v>517820</v>
      </c>
      <c r="N66" s="155">
        <f t="shared" ca="1" si="39"/>
        <v>390852</v>
      </c>
      <c r="O66" s="155">
        <f t="shared" ref="O66:O74" ca="1" si="40">IF(L66&gt;0,N66*100/L66,0)</f>
        <v>56.07632711621234</v>
      </c>
      <c r="P66" s="155">
        <f t="shared" ref="P66:P74" ca="1" si="41">IF(M66&gt;0,N66*100/M66,0)</f>
        <v>75.48028272372639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697000</v>
      </c>
      <c r="M68" s="93">
        <f t="shared" ca="1" si="42"/>
        <v>517820</v>
      </c>
      <c r="N68" s="93">
        <f t="shared" ca="1" si="42"/>
        <v>390852</v>
      </c>
      <c r="O68" s="93">
        <f t="shared" ca="1" si="40"/>
        <v>56.07632711621234</v>
      </c>
      <c r="P68" s="93">
        <f t="shared" ca="1" si="41"/>
        <v>75.48028272372639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697000</v>
      </c>
      <c r="M69" s="497">
        <f t="shared" ca="1" si="43"/>
        <v>517820</v>
      </c>
      <c r="N69" s="497">
        <f t="shared" ca="1" si="43"/>
        <v>390852</v>
      </c>
      <c r="O69" s="497">
        <f t="shared" ca="1" si="40"/>
        <v>56.07632711621234</v>
      </c>
      <c r="P69" s="497">
        <f t="shared" ca="1" si="41"/>
        <v>75.48028272372639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IFERROR(__xludf.DUMMYFUNCTION("IMPORTRANGE(""https://docs.google.com/spreadsheets/d/1MeEWN-I1oV_STSDYn1IFDPWt_1FKiwhDph83XaGc0o0/edit?usp=sharing"",""งบพรบ!AG41"")"),697000)</f>
        <v>697000</v>
      </c>
      <c r="M71" s="93">
        <f ca="1">IFERROR(__xludf.DUMMYFUNCTION("IMPORTRANGE(""https://docs.google.com/spreadsheets/d/1MeEWN-I1oV_STSDYn1IFDPWt_1FKiwhDph83XaGc0o0/edit?usp=sharing"",""งบพรบ!AL41"")"),517820)</f>
        <v>517820</v>
      </c>
      <c r="N71" s="93">
        <f ca="1">IFERROR(__xludf.DUMMYFUNCTION("IMPORTRANGE(""https://docs.google.com/spreadsheets/d/1MeEWN-I1oV_STSDYn1IFDPWt_1FKiwhDph83XaGc0o0/edit?usp=sharing"",""งบพรบ!AN41"")"),390852)</f>
        <v>390852</v>
      </c>
      <c r="O71" s="93">
        <f t="shared" ca="1" si="40"/>
        <v>56.07632711621234</v>
      </c>
      <c r="P71" s="93">
        <f t="shared" ca="1" si="41"/>
        <v>75.48028272372639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IFERROR(__xludf.DUMMYFUNCTION("IMPORTRANGE(""https://docs.google.com/spreadsheets/d/1MeEWN-I1oV_STSDYn1IFDPWt_1FKiwhDph83XaGc0o0/edit?usp=sharing"",""งบพรบ!AJ41"")"),0)</f>
        <v>0</v>
      </c>
      <c r="M74" s="93">
        <f ca="1">IFERROR(__xludf.DUMMYFUNCTION("IMPORTRANGE(""https://docs.google.com/spreadsheets/d/1MeEWN-I1oV_STSDYn1IFDPWt_1FKiwhDph83XaGc0o0/edit?usp=sharing"",""งบพรบ!AM41"")"),0)</f>
        <v>0</v>
      </c>
      <c r="N74" s="93">
        <f ca="1">IFERROR(__xludf.DUMMYFUNCTION("IMPORTRANGE(""https://docs.google.com/spreadsheets/d/1MeEWN-I1oV_STSDYn1IFDPWt_1FKiwhDph83XaGc0o0/edit?usp=sharing"",""งบพรบ!AO41"")"),0)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IFERROR(__xludf.DUMMYFUNCTION("IMPORTRANGE(""https://docs.google.com/spreadsheets/d/1QqKyyYR6Q21VydFLVH3TRQUabQu_ym0Zz7PgGX0-kHA/edit?usp=sharing"",""แผน!F41"")"),1)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IFERROR(__xludf.DUMMYFUNCTION("IMPORTRANGE(""https://docs.google.com/spreadsheets/d/1QqKyyYR6Q21VydFLVH3TRQUabQu_ym0Zz7PgGX0-kHA/edit?usp=sharing"",""แผน!G41"")"),40)</f>
        <v>40</v>
      </c>
      <c r="J81" s="215">
        <v>40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IFERROR(__xludf.DUMMYFUNCTION("IMPORTRANGE(""https://docs.google.com/spreadsheets/d/1QqKyyYR6Q21VydFLVH3TRQUabQu_ym0Zz7PgGX0-kHA/edit?usp=sharing"",""แผน!J41"")"),1)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111880</v>
      </c>
      <c r="M88" s="155">
        <f t="shared" ca="1" si="49"/>
        <v>74430</v>
      </c>
      <c r="N88" s="155">
        <f t="shared" ca="1" si="49"/>
        <v>73520</v>
      </c>
      <c r="O88" s="155">
        <f t="shared" ref="O88:O96" ca="1" si="50">IF(L88&gt;0,N88*100/L88,0)</f>
        <v>65.713264211655343</v>
      </c>
      <c r="P88" s="155">
        <f t="shared" ref="P88:P96" ca="1" si="51">IF(M88&gt;0,N88*100/M88,0)</f>
        <v>98.777374714496844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111880</v>
      </c>
      <c r="M90" s="93">
        <f t="shared" ca="1" si="52"/>
        <v>74430</v>
      </c>
      <c r="N90" s="93">
        <f t="shared" ca="1" si="52"/>
        <v>73520</v>
      </c>
      <c r="O90" s="93">
        <f t="shared" ca="1" si="50"/>
        <v>65.713264211655343</v>
      </c>
      <c r="P90" s="93">
        <f t="shared" ca="1" si="51"/>
        <v>98.777374714496844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111880</v>
      </c>
      <c r="M91" s="497">
        <f t="shared" ca="1" si="53"/>
        <v>74430</v>
      </c>
      <c r="N91" s="497">
        <f t="shared" ca="1" si="53"/>
        <v>73520</v>
      </c>
      <c r="O91" s="497">
        <f t="shared" ca="1" si="50"/>
        <v>65.713264211655343</v>
      </c>
      <c r="P91" s="497">
        <f t="shared" ca="1" si="51"/>
        <v>98.777374714496844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IFERROR(__xludf.DUMMYFUNCTION("IMPORTRANGE(""https://docs.google.com/spreadsheets/d/1MeEWN-I1oV_STSDYn1IFDPWt_1FKiwhDph83XaGc0o0/edit?usp=sharing"",""งบพรบ!AQ41"")"),111880)</f>
        <v>111880</v>
      </c>
      <c r="M93" s="93">
        <f ca="1">IFERROR(__xludf.DUMMYFUNCTION("IMPORTRANGE(""https://docs.google.com/spreadsheets/d/1MeEWN-I1oV_STSDYn1IFDPWt_1FKiwhDph83XaGc0o0/edit?usp=sharing"",""งบพรบ!AV41"")"),74430)</f>
        <v>74430</v>
      </c>
      <c r="N93" s="93">
        <f ca="1">IFERROR(__xludf.DUMMYFUNCTION("IMPORTRANGE(""https://docs.google.com/spreadsheets/d/1MeEWN-I1oV_STSDYn1IFDPWt_1FKiwhDph83XaGc0o0/edit?usp=sharing"",""งบพรบ!AX41"")"),73520)</f>
        <v>73520</v>
      </c>
      <c r="O93" s="93">
        <f t="shared" ca="1" si="50"/>
        <v>65.713264211655343</v>
      </c>
      <c r="P93" s="93">
        <f t="shared" ca="1" si="51"/>
        <v>98.777374714496844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IFERROR(__xludf.DUMMYFUNCTION("IMPORTRANGE(""https://docs.google.com/spreadsheets/d/1MeEWN-I1oV_STSDYn1IFDPWt_1FKiwhDph83XaGc0o0/edit?usp=sharing"",""งบพรบ!AT41"")"),0)</f>
        <v>0</v>
      </c>
      <c r="M96" s="93">
        <f ca="1">IFERROR(__xludf.DUMMYFUNCTION("IMPORTRANGE(""https://docs.google.com/spreadsheets/d/1MeEWN-I1oV_STSDYn1IFDPWt_1FKiwhDph83XaGc0o0/edit?usp=sharing"",""งบพรบ!AW41"")"),0)</f>
        <v>0</v>
      </c>
      <c r="N96" s="93">
        <f ca="1">IFERROR(__xludf.DUMMYFUNCTION("IMPORTRANGE(""https://docs.google.com/spreadsheets/d/1MeEWN-I1oV_STSDYn1IFDPWt_1FKiwhDph83XaGc0o0/edit?usp=sharing"",""งบพรบ!AY41"")"),0)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IFERROR(__xludf.DUMMYFUNCTION("IMPORTRANGE(""https://docs.google.com/spreadsheets/d/1QqKyyYR6Q21VydFLVH3TRQUabQu_ym0Zz7PgGX0-kHA/edit?usp=sharing"",""แผน!K41"")"),60)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IFERROR(__xludf.DUMMYFUNCTION("IMPORTRANGE(""https://docs.google.com/spreadsheets/d/1QqKyyYR6Q21VydFLVH3TRQUabQu_ym0Zz7PgGX0-kHA/edit?usp=sharing"",""แผน!L41"")"),20)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IFERROR(__xludf.DUMMYFUNCTION("IMPORTRANGE(""https://docs.google.com/spreadsheets/d/1QqKyyYR6Q21VydFLVH3TRQUabQu_ym0Zz7PgGX0-kHA/edit?usp=sharing"",""แผน!N41"")"),60)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IFERROR(__xludf.DUMMYFUNCTION("IMPORTRANGE(""https://docs.google.com/spreadsheets/d/1QqKyyYR6Q21VydFLVH3TRQUabQu_ym0Zz7PgGX0-kHA/edit?usp=sharing"",""แผน!O41"")"),20)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IFERROR(__xludf.DUMMYFUNCTION("IMPORTRANGE(""https://docs.google.com/spreadsheets/d/1QqKyyYR6Q21VydFLVH3TRQUabQu_ym0Zz7PgGX0-kHA/edit?usp=sharing"",""แผน!O41"")"),20)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IFERROR(__xludf.DUMMYFUNCTION("IMPORTRANGE(""https://docs.google.com/spreadsheets/d/1QqKyyYR6Q21VydFLVH3TRQUabQu_ym0Zz7PgGX0-kHA/edit?usp=sharing"",""แผน!R41"")"),20)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IFERROR(__xludf.DUMMYFUNCTION("IMPORTRANGE(""https://docs.google.com/spreadsheets/d/1QqKyyYR6Q21VydFLVH3TRQUabQu_ym0Zz7PgGX0-kHA/edit?usp=sharing"",""แผน!R41"")"),20)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IFERROR(__xludf.DUMMYFUNCTION("IMPORTRANGE(""https://docs.google.com/spreadsheets/d/1QqKyyYR6Q21VydFLVH3TRQUabQu_ym0Zz7PgGX0-kHA/edit?usp=sharing"",""แผน!R41"")"),20)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IFERROR(__xludf.DUMMYFUNCTION("IMPORTRANGE(""https://docs.google.com/spreadsheets/d/1MeEWN-I1oV_STSDYn1IFDPWt_1FKiwhDph83XaGc0o0/edit?usp=sharing"",""งบพรบ!BA41"")"),0)</f>
        <v>0</v>
      </c>
      <c r="M124" s="93">
        <f ca="1">IFERROR(__xludf.DUMMYFUNCTION("IMPORTRANGE(""https://docs.google.com/spreadsheets/d/1MeEWN-I1oV_STSDYn1IFDPWt_1FKiwhDph83XaGc0o0/edit?usp=sharing"",""งบพรบ!BF41"")"),0)</f>
        <v>0</v>
      </c>
      <c r="N124" s="93">
        <f ca="1">IFERROR(__xludf.DUMMYFUNCTION("IMPORTRANGE(""https://docs.google.com/spreadsheets/d/1MeEWN-I1oV_STSDYn1IFDPWt_1FKiwhDph83XaGc0o0/edit?usp=sharing"",""งบพรบ!BH41"")"),0)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IFERROR(__xludf.DUMMYFUNCTION("IMPORTRANGE(""https://docs.google.com/spreadsheets/d/1MeEWN-I1oV_STSDYn1IFDPWt_1FKiwhDph83XaGc0o0/edit?usp=sharing"",""งบพรบ!BD41"")"),26800)</f>
        <v>26800</v>
      </c>
      <c r="M127" s="93">
        <f ca="1">IFERROR(__xludf.DUMMYFUNCTION("IMPORTRANGE(""https://docs.google.com/spreadsheets/d/1MeEWN-I1oV_STSDYn1IFDPWt_1FKiwhDph83XaGc0o0/edit?usp=sharing"",""งบพรบ!BG41"")"),26800)</f>
        <v>26800</v>
      </c>
      <c r="N127" s="93">
        <f ca="1">IFERROR(__xludf.DUMMYFUNCTION("IMPORTRANGE(""https://docs.google.com/spreadsheets/d/1MeEWN-I1oV_STSDYn1IFDPWt_1FKiwhDph83XaGc0o0/edit?usp=sharing"",""งบพรบ!BI41"")"),26800)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489055</v>
      </c>
      <c r="M132" s="155">
        <f t="shared" ca="1" si="69"/>
        <v>399950</v>
      </c>
      <c r="N132" s="155">
        <f t="shared" ca="1" si="69"/>
        <v>328377</v>
      </c>
      <c r="O132" s="155">
        <f t="shared" ref="O132:O140" ca="1" si="70">IF(L132&gt;0,N132*100/L132,0)</f>
        <v>67.145208616617765</v>
      </c>
      <c r="P132" s="155">
        <f t="shared" ref="P132:P140" ca="1" si="71">IF(M132&gt;0,N132*100/M132,0)</f>
        <v>82.104513064133016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489055</v>
      </c>
      <c r="M134" s="93">
        <f t="shared" ca="1" si="72"/>
        <v>399950</v>
      </c>
      <c r="N134" s="93">
        <f t="shared" ca="1" si="72"/>
        <v>328377</v>
      </c>
      <c r="O134" s="93">
        <f t="shared" ca="1" si="70"/>
        <v>67.145208616617765</v>
      </c>
      <c r="P134" s="93">
        <f t="shared" ca="1" si="71"/>
        <v>82.104513064133016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386055</v>
      </c>
      <c r="M135" s="497">
        <f t="shared" ca="1" si="73"/>
        <v>296950</v>
      </c>
      <c r="N135" s="497">
        <f t="shared" ca="1" si="73"/>
        <v>225377</v>
      </c>
      <c r="O135" s="497">
        <f t="shared" ca="1" si="70"/>
        <v>58.379505510872804</v>
      </c>
      <c r="P135" s="497">
        <f t="shared" ca="1" si="71"/>
        <v>75.89728910591009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IFERROR(__xludf.DUMMYFUNCTION("IMPORTRANGE(""https://docs.google.com/spreadsheets/d/1MeEWN-I1oV_STSDYn1IFDPWt_1FKiwhDph83XaGc0o0/edit?usp=sharing"",""งบพรบ!BK41"")"),386055)</f>
        <v>386055</v>
      </c>
      <c r="M137" s="93">
        <f ca="1">IFERROR(__xludf.DUMMYFUNCTION("IMPORTRANGE(""https://docs.google.com/spreadsheets/d/1MeEWN-I1oV_STSDYn1IFDPWt_1FKiwhDph83XaGc0o0/edit?usp=sharing"",""งบพรบ!BP41"")"),296950)</f>
        <v>296950</v>
      </c>
      <c r="N137" s="93">
        <f ca="1">IFERROR(__xludf.DUMMYFUNCTION("IMPORTRANGE(""https://docs.google.com/spreadsheets/d/1MeEWN-I1oV_STSDYn1IFDPWt_1FKiwhDph83XaGc0o0/edit?usp=sharing"",""งบพรบ!BR41"")"),225377)</f>
        <v>225377</v>
      </c>
      <c r="O137" s="93">
        <f t="shared" ca="1" si="70"/>
        <v>58.379505510872804</v>
      </c>
      <c r="P137" s="93">
        <f t="shared" ca="1" si="71"/>
        <v>75.89728910591009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IFERROR(__xludf.DUMMYFUNCTION("IMPORTRANGE(""https://docs.google.com/spreadsheets/d/1MeEWN-I1oV_STSDYn1IFDPWt_1FKiwhDph83XaGc0o0/edit?usp=sharing"",""งบพรบ!BN41"")"),103000)</f>
        <v>103000</v>
      </c>
      <c r="M140" s="93">
        <f ca="1">IFERROR(__xludf.DUMMYFUNCTION("IMPORTRANGE(""https://docs.google.com/spreadsheets/d/1MeEWN-I1oV_STSDYn1IFDPWt_1FKiwhDph83XaGc0o0/edit?usp=sharing"",""งบพรบ!BQ41"")"),103000)</f>
        <v>103000</v>
      </c>
      <c r="N140" s="93">
        <f ca="1">IFERROR(__xludf.DUMMYFUNCTION("IMPORTRANGE(""https://docs.google.com/spreadsheets/d/1MeEWN-I1oV_STSDYn1IFDPWt_1FKiwhDph83XaGc0o0/edit?usp=sharing"",""งบพรบ!BS41"")"),103000)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IFERROR(__xludf.DUMMYFUNCTION("IMPORTRANGE(""https://docs.google.com/spreadsheets/d/1QqKyyYR6Q21VydFLVH3TRQUabQu_ym0Zz7PgGX0-kHA/edit?usp=sharing"",""แผน!U41"")"),5)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IFERROR(__xludf.DUMMYFUNCTION("IMPORTRANGE(""https://docs.google.com/spreadsheets/d/1QqKyyYR6Q21VydFLVH3TRQUabQu_ym0Zz7PgGX0-kHA/edit?usp=sharing"",""แผน!V41"")"),10)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IFERROR(__xludf.DUMMYFUNCTION("IMPORTRANGE(""https://docs.google.com/spreadsheets/d/1QqKyyYR6Q21VydFLVH3TRQUabQu_ym0Zz7PgGX0-kHA/edit?usp=sharing"",""แผน!W41"")"),1)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7840</v>
      </c>
      <c r="N149" s="155">
        <f t="shared" ca="1" si="77"/>
        <v>2194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27.98469387755102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7840</v>
      </c>
      <c r="N151" s="93">
        <f t="shared" ca="1" si="80"/>
        <v>2194</v>
      </c>
      <c r="O151" s="93">
        <f t="shared" ca="1" si="78"/>
        <v>0</v>
      </c>
      <c r="P151" s="93">
        <f t="shared" ca="1" si="79"/>
        <v>27.98469387755102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7840</v>
      </c>
      <c r="N152" s="497">
        <f t="shared" ca="1" si="81"/>
        <v>2194</v>
      </c>
      <c r="O152" s="497">
        <f t="shared" ca="1" si="78"/>
        <v>0</v>
      </c>
      <c r="P152" s="497">
        <f t="shared" ca="1" si="79"/>
        <v>27.98469387755102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IFERROR(__xludf.DUMMYFUNCTION("IMPORTRANGE(""https://docs.google.com/spreadsheets/d/1MeEWN-I1oV_STSDYn1IFDPWt_1FKiwhDph83XaGc0o0/edit?usp=sharing"",""งบพรบ!BU41"")"),0)</f>
        <v>0</v>
      </c>
      <c r="M154" s="93">
        <f ca="1">IFERROR(__xludf.DUMMYFUNCTION("IMPORTRANGE(""https://docs.google.com/spreadsheets/d/1MeEWN-I1oV_STSDYn1IFDPWt_1FKiwhDph83XaGc0o0/edit?usp=sharing"",""งบพรบ!BZ41"")"),7840)</f>
        <v>7840</v>
      </c>
      <c r="N154" s="93">
        <f ca="1">IFERROR(__xludf.DUMMYFUNCTION("IMPORTRANGE(""https://docs.google.com/spreadsheets/d/1MeEWN-I1oV_STSDYn1IFDPWt_1FKiwhDph83XaGc0o0/edit?usp=sharing"",""งบพรบ!CB41"")"),2194)</f>
        <v>2194</v>
      </c>
      <c r="O154" s="93">
        <f t="shared" ca="1" si="78"/>
        <v>0</v>
      </c>
      <c r="P154" s="93">
        <f t="shared" ca="1" si="79"/>
        <v>27.98469387755102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IFERROR(__xludf.DUMMYFUNCTION("IMPORTRANGE(""https://docs.google.com/spreadsheets/d/1MeEWN-I1oV_STSDYn1IFDPWt_1FKiwhDph83XaGc0o0/edit?usp=sharing"",""งบพรบ!BX41"")"),0)</f>
        <v>0</v>
      </c>
      <c r="M157" s="93">
        <f ca="1">IFERROR(__xludf.DUMMYFUNCTION("IMPORTRANGE(""https://docs.google.com/spreadsheets/d/1MeEWN-I1oV_STSDYn1IFDPWt_1FKiwhDph83XaGc0o0/edit?usp=sharing"",""งบพรบ!CA41"")"),0)</f>
        <v>0</v>
      </c>
      <c r="N157" s="93">
        <f ca="1">IFERROR(__xludf.DUMMYFUNCTION("IMPORTRANGE(""https://docs.google.com/spreadsheets/d/1MeEWN-I1oV_STSDYn1IFDPWt_1FKiwhDph83XaGc0o0/edit?usp=sharing"",""งบพรบ!CC41"")"),0)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IFERROR(__xludf.DUMMYFUNCTION("IMPORTRANGE(""https://docs.google.com/spreadsheets/d/1MeEWN-I1oV_STSDYn1IFDPWt_1FKiwhDph83XaGc0o0/edit?usp=sharing"",""งบพรบ!CE41"")"),22055)</f>
        <v>22055</v>
      </c>
      <c r="M170" s="93">
        <f ca="1">IFERROR(__xludf.DUMMYFUNCTION("IMPORTRANGE(""https://docs.google.com/spreadsheets/d/1MeEWN-I1oV_STSDYn1IFDPWt_1FKiwhDph83XaGc0o0/edit?usp=sharing"",""งบพรบ!CJ41"")"),22055)</f>
        <v>22055</v>
      </c>
      <c r="N170" s="93">
        <f ca="1">IFERROR(__xludf.DUMMYFUNCTION("IMPORTRANGE(""https://docs.google.com/spreadsheets/d/1MeEWN-I1oV_STSDYn1IFDPWt_1FKiwhDph83XaGc0o0/edit?usp=sharing"",""งบพรบ!CL41"")"),22055)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IFERROR(__xludf.DUMMYFUNCTION("IMPORTRANGE(""https://docs.google.com/spreadsheets/d/1MeEWN-I1oV_STSDYn1IFDPWt_1FKiwhDph83XaGc0o0/edit?usp=sharing"",""งบพรบ!CH41"")"),0)</f>
        <v>0</v>
      </c>
      <c r="M173" s="93">
        <f ca="1">IFERROR(__xludf.DUMMYFUNCTION("IMPORTRANGE(""https://docs.google.com/spreadsheets/d/1MeEWN-I1oV_STSDYn1IFDPWt_1FKiwhDph83XaGc0o0/edit?usp=sharing"",""งบพรบ!CK41"")"),0)</f>
        <v>0</v>
      </c>
      <c r="N173" s="93">
        <f ca="1">IFERROR(__xludf.DUMMYFUNCTION("IMPORTRANGE(""https://docs.google.com/spreadsheets/d/1MeEWN-I1oV_STSDYn1IFDPWt_1FKiwhDph83XaGc0o0/edit?usp=sharing"",""งบพรบ!CM41"")"),0)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72500</v>
      </c>
      <c r="M181" s="155">
        <f t="shared" ca="1" si="92"/>
        <v>62500</v>
      </c>
      <c r="N181" s="155">
        <f t="shared" ca="1" si="92"/>
        <v>37533</v>
      </c>
      <c r="O181" s="155">
        <f t="shared" ref="O181:O189" ca="1" si="93">IF(L181&gt;0,N181*100/L181,0)</f>
        <v>51.769655172413792</v>
      </c>
      <c r="P181" s="155">
        <f t="shared" ref="P181:P189" ca="1" si="94">IF(M181&gt;0,N181*100/M181,0)</f>
        <v>60.052799999999998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72500</v>
      </c>
      <c r="M183" s="93">
        <f t="shared" ca="1" si="95"/>
        <v>62500</v>
      </c>
      <c r="N183" s="93">
        <f t="shared" ca="1" si="95"/>
        <v>37533</v>
      </c>
      <c r="O183" s="93">
        <f t="shared" ca="1" si="93"/>
        <v>51.769655172413792</v>
      </c>
      <c r="P183" s="93">
        <f t="shared" ca="1" si="94"/>
        <v>60.052799999999998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72500</v>
      </c>
      <c r="M184" s="497">
        <f t="shared" ca="1" si="96"/>
        <v>62500</v>
      </c>
      <c r="N184" s="497">
        <f t="shared" ca="1" si="96"/>
        <v>37533</v>
      </c>
      <c r="O184" s="497">
        <f t="shared" ca="1" si="93"/>
        <v>51.769655172413792</v>
      </c>
      <c r="P184" s="497">
        <f t="shared" ca="1" si="94"/>
        <v>60.052799999999998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IFERROR(__xludf.DUMMYFUNCTION("IMPORTRANGE(""https://docs.google.com/spreadsheets/d/1MeEWN-I1oV_STSDYn1IFDPWt_1FKiwhDph83XaGc0o0/edit?usp=sharing"",""งบพรบ!CO41"")"),72500)</f>
        <v>72500</v>
      </c>
      <c r="M186" s="93">
        <f ca="1">IFERROR(__xludf.DUMMYFUNCTION("IMPORTRANGE(""https://docs.google.com/spreadsheets/d/1MeEWN-I1oV_STSDYn1IFDPWt_1FKiwhDph83XaGc0o0/edit?usp=sharing"",""งบพรบ!CT41"")"),62500)</f>
        <v>62500</v>
      </c>
      <c r="N186" s="93">
        <f ca="1">IFERROR(__xludf.DUMMYFUNCTION("IMPORTRANGE(""https://docs.google.com/spreadsheets/d/1MeEWN-I1oV_STSDYn1IFDPWt_1FKiwhDph83XaGc0o0/edit?usp=sharing"",""งบพรบ!CV41"")"),37533)</f>
        <v>37533</v>
      </c>
      <c r="O186" s="93">
        <f t="shared" ca="1" si="93"/>
        <v>51.769655172413792</v>
      </c>
      <c r="P186" s="93">
        <f t="shared" ca="1" si="94"/>
        <v>60.052799999999998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IFERROR(__xludf.DUMMYFUNCTION("IMPORTRANGE(""https://docs.google.com/spreadsheets/d/1MeEWN-I1oV_STSDYn1IFDPWt_1FKiwhDph83XaGc0o0/edit?usp=sharing"",""งบพรบ!CR41"")"),0)</f>
        <v>0</v>
      </c>
      <c r="M189" s="93">
        <f ca="1">IFERROR(__xludf.DUMMYFUNCTION("IMPORTRANGE(""https://docs.google.com/spreadsheets/d/1MeEWN-I1oV_STSDYn1IFDPWt_1FKiwhDph83XaGc0o0/edit?usp=sharing"",""งบพรบ!CU41"")"),0)</f>
        <v>0</v>
      </c>
      <c r="N189" s="93">
        <f ca="1">IFERROR(__xludf.DUMMYFUNCTION("IMPORTRANGE(""https://docs.google.com/spreadsheets/d/1MeEWN-I1oV_STSDYn1IFDPWt_1FKiwhDph83XaGc0o0/edit?usp=sharing"",""งบพรบ!CW41"")"),0)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IFERROR(__xludf.DUMMYFUNCTION("IMPORTRANGE(""https://docs.google.com/spreadsheets/d/1QqKyyYR6Q21VydFLVH3TRQUabQu_ym0Zz7PgGX0-kHA/edit?usp=sharing"",""แผน!AC41"")"),4)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IFERROR(__xludf.DUMMYFUNCTION("IMPORTRANGE(""https://docs.google.com/spreadsheets/d/1QqKyyYR6Q21VydFLVH3TRQUabQu_ym0Zz7PgGX0-kHA/edit?usp=sharing"",""แผน!AE41"")"),3000)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IFERROR(__xludf.DUMMYFUNCTION("IMPORTRANGE(""https://docs.google.com/spreadsheets/d/1QqKyyYR6Q21VydFLVH3TRQUabQu_ym0Zz7PgGX0-kHA/edit?usp=sharing"",""แผน!AF41"")"),24000)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IFERROR(__xludf.DUMMYFUNCTION("IMPORTRANGE(""https://docs.google.com/spreadsheets/d/1QqKyyYR6Q21VydFLVH3TRQUabQu_ym0Zz7PgGX0-kHA/edit?usp=sharing"",""แผน!AG41"")"),12000)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IFERROR(__xludf.DUMMYFUNCTION("IMPORTRANGE(""https://docs.google.com/spreadsheets/d/1QqKyyYR6Q21VydFLVH3TRQUabQu_ym0Zz7PgGX0-kHA/edit?usp=sharing"",""แผน!AI41"")"),3)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IFERROR(__xludf.DUMMYFUNCTION("IMPORTRANGE(""https://docs.google.com/spreadsheets/d/1QqKyyYR6Q21VydFLVH3TRQUabQu_ym0Zz7PgGX0-kHA/edit?usp=sharing"",""แผน!AK41"")"),1000)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IFERROR(__xludf.DUMMYFUNCTION("IMPORTRANGE(""https://docs.google.com/spreadsheets/d/1QqKyyYR6Q21VydFLVH3TRQUabQu_ym0Zz7PgGX0-kHA/edit?usp=sharing"",""แผน!AL41"")"),5000)</f>
        <v>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IFERROR(__xludf.DUMMYFUNCTION("IMPORTRANGE(""https://docs.google.com/spreadsheets/d/1QqKyyYR6Q21VydFLVH3TRQUabQu_ym0Zz7PgGX0-kHA/edit?usp=sharing"",""แผน!AM41"")"),8000)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IFERROR(__xludf.DUMMYFUNCTION("IMPORTRANGE(""https://docs.google.com/spreadsheets/d/1QqKyyYR6Q21VydFLVH3TRQUabQu_ym0Zz7PgGX0-kHA/edit?usp=sharing"",""แผน!AN41"")"),1)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IFERROR(__xludf.DUMMYFUNCTION("IMPORTRANGE(""https://docs.google.com/spreadsheets/d/1QqKyyYR6Q21VydFLVH3TRQUabQu_ym0Zz7PgGX0-kHA/edit?usp=sharing"",""แผน!AN41"")"),1)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IFERROR(__xludf.DUMMYFUNCTION("IMPORTRANGE(""https://docs.google.com/spreadsheets/d/1QqKyyYR6Q21VydFLVH3TRQUabQu_ym0Zz7PgGX0-kHA/edit?usp=sharing"",""แผน!AT41"")"),30000)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IFERROR(__xludf.DUMMYFUNCTION("IMPORTRANGE(""https://docs.google.com/spreadsheets/d/1QqKyyYR6Q21VydFLVH3TRQUabQu_ym0Zz7PgGX0-kHA/edit?usp=sharing"",""แผน!AV41"")"),0)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IFERROR(__xludf.DUMMYFUNCTION("IMPORTRANGE(""https://docs.google.com/spreadsheets/d/1QqKyyYR6Q21VydFLVH3TRQUabQu_ym0Zz7PgGX0-kHA/edit?usp=sharing"",""แผน!AW41"")"),0)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IFERROR(__xludf.DUMMYFUNCTION("IMPORTRANGE(""https://docs.google.com/spreadsheets/d/1QqKyyYR6Q21VydFLVH3TRQUabQu_ym0Zz7PgGX0-kHA/edit?usp=sharing"",""แผน!AY41"")"),0)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IFERROR(__xludf.DUMMYFUNCTION("IMPORTRANGE(""https://docs.google.com/spreadsheets/d/1QqKyyYR6Q21VydFLVH3TRQUabQu_ym0Zz7PgGX0-kHA/edit?usp=sharing"",""แผน!AZ41"")"),0)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IFERROR(__xludf.DUMMYFUNCTION("IMPORTRANGE(""https://docs.google.com/spreadsheets/d/1QqKyyYR6Q21VydFLVH3TRQUabQu_ym0Zz7PgGX0-kHA/edit?usp=sharing"",""แผน!BA41"")"),0)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IFERROR(__xludf.DUMMYFUNCTION("IMPORTRANGE(""https://docs.google.com/spreadsheets/d/1QqKyyYR6Q21VydFLVH3TRQUabQu_ym0Zz7PgGX0-kHA/edit?usp=sharing"",""แผน!BB41"")"),0)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IFERROR(__xludf.DUMMYFUNCTION("IMPORTRANGE(""https://docs.google.com/spreadsheets/d/1QqKyyYR6Q21VydFLVH3TRQUabQu_ym0Zz7PgGX0-kHA/edit?usp=sharing"",""แผน!BC41"")"),0)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15680</v>
      </c>
      <c r="O261" s="155">
        <f t="shared" ref="O261:O269" ca="1" si="117">IF(L261&gt;0,N261*100/L261,0)</f>
        <v>58.289962825278813</v>
      </c>
      <c r="P261" s="155">
        <f t="shared" ref="P261:P269" ca="1" si="118">IF(M261&gt;0,N261*100/M261,0)</f>
        <v>65.606694560669453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15680</v>
      </c>
      <c r="O263" s="93">
        <f t="shared" ca="1" si="117"/>
        <v>58.289962825278813</v>
      </c>
      <c r="P263" s="93">
        <f t="shared" ca="1" si="118"/>
        <v>65.606694560669453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15680</v>
      </c>
      <c r="O264" s="497">
        <f t="shared" ca="1" si="117"/>
        <v>58.289962825278813</v>
      </c>
      <c r="P264" s="497">
        <f t="shared" ca="1" si="118"/>
        <v>65.606694560669453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IFERROR(__xludf.DUMMYFUNCTION("IMPORTRANGE(""https://docs.google.com/spreadsheets/d/1MeEWN-I1oV_STSDYn1IFDPWt_1FKiwhDph83XaGc0o0/edit?usp=sharing"",""งบพรบ!CY41"")"),26900)</f>
        <v>26900</v>
      </c>
      <c r="M266" s="93">
        <f ca="1">IFERROR(__xludf.DUMMYFUNCTION("IMPORTRANGE(""https://docs.google.com/spreadsheets/d/1MeEWN-I1oV_STSDYn1IFDPWt_1FKiwhDph83XaGc0o0/edit?usp=sharing"",""งบพรบ!DD41"")"),23900)</f>
        <v>23900</v>
      </c>
      <c r="N266" s="93">
        <f ca="1">IFERROR(__xludf.DUMMYFUNCTION("IMPORTRANGE(""https://docs.google.com/spreadsheets/d/1MeEWN-I1oV_STSDYn1IFDPWt_1FKiwhDph83XaGc0o0/edit?usp=sharing"",""งบพรบ!DF41"")"),15680)</f>
        <v>15680</v>
      </c>
      <c r="O266" s="93">
        <f t="shared" ca="1" si="117"/>
        <v>58.289962825278813</v>
      </c>
      <c r="P266" s="93">
        <f t="shared" ca="1" si="118"/>
        <v>65.606694560669453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IFERROR(__xludf.DUMMYFUNCTION("IMPORTRANGE(""https://docs.google.com/spreadsheets/d/1MeEWN-I1oV_STSDYn1IFDPWt_1FKiwhDph83XaGc0o0/edit?usp=sharing"",""งบพรบ!DB41"")"),0)</f>
        <v>0</v>
      </c>
      <c r="M269" s="93">
        <f ca="1">IFERROR(__xludf.DUMMYFUNCTION("IMPORTRANGE(""https://docs.google.com/spreadsheets/d/1MeEWN-I1oV_STSDYn1IFDPWt_1FKiwhDph83XaGc0o0/edit?usp=sharing"",""งบพรบ!DE41"")"),0)</f>
        <v>0</v>
      </c>
      <c r="N269" s="93">
        <f ca="1">IFERROR(__xludf.DUMMYFUNCTION("IMPORTRANGE(""https://docs.google.com/spreadsheets/d/1MeEWN-I1oV_STSDYn1IFDPWt_1FKiwhDph83XaGc0o0/edit?usp=sharing"",""งบพรบ!DG41"")"),0)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5160</v>
      </c>
      <c r="O277" s="155">
        <f t="shared" ref="O277:O285" ca="1" si="126">IF(L277&gt;0,N277*100/L277,0)</f>
        <v>22.801590808661068</v>
      </c>
      <c r="P277" s="155">
        <f t="shared" ref="P277:P285" ca="1" si="127">IF(M277&gt;0,N277*100/M277,0)</f>
        <v>39.389312977099237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5160</v>
      </c>
      <c r="O279" s="93">
        <f t="shared" ca="1" si="126"/>
        <v>22.801590808661068</v>
      </c>
      <c r="P279" s="93">
        <f t="shared" ca="1" si="127"/>
        <v>39.389312977099237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5160</v>
      </c>
      <c r="O280" s="497">
        <f t="shared" ca="1" si="126"/>
        <v>22.801590808661068</v>
      </c>
      <c r="P280" s="497">
        <f t="shared" ca="1" si="127"/>
        <v>39.389312977099237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IFERROR(__xludf.DUMMYFUNCTION("IMPORTRANGE(""https://docs.google.com/spreadsheets/d/1MeEWN-I1oV_STSDYn1IFDPWt_1FKiwhDph83XaGc0o0/edit?usp=sharing"",""งบพรบ!DI41"")"),22630)</f>
        <v>22630</v>
      </c>
      <c r="M282" s="93">
        <f ca="1">IFERROR(__xludf.DUMMYFUNCTION("IMPORTRANGE(""https://docs.google.com/spreadsheets/d/1MeEWN-I1oV_STSDYn1IFDPWt_1FKiwhDph83XaGc0o0/edit?usp=sharing"",""งบพรบ!DN41"")"),13100)</f>
        <v>13100</v>
      </c>
      <c r="N282" s="93">
        <f ca="1">IFERROR(__xludf.DUMMYFUNCTION("IMPORTRANGE(""https://docs.google.com/spreadsheets/d/1MeEWN-I1oV_STSDYn1IFDPWt_1FKiwhDph83XaGc0o0/edit?usp=sharing"",""งบพรบ!DP41"")"),5160)</f>
        <v>5160</v>
      </c>
      <c r="O282" s="93">
        <f t="shared" ca="1" si="126"/>
        <v>22.801590808661068</v>
      </c>
      <c r="P282" s="93">
        <f t="shared" ca="1" si="127"/>
        <v>39.389312977099237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IFERROR(__xludf.DUMMYFUNCTION("IMPORTRANGE(""https://docs.google.com/spreadsheets/d/1MeEWN-I1oV_STSDYn1IFDPWt_1FKiwhDph83XaGc0o0/edit?usp=sharing"",""งบพรบ!DL41"")"),0)</f>
        <v>0</v>
      </c>
      <c r="M285" s="93">
        <f ca="1">IFERROR(__xludf.DUMMYFUNCTION("IMPORTRANGE(""https://docs.google.com/spreadsheets/d/1MeEWN-I1oV_STSDYn1IFDPWt_1FKiwhDph83XaGc0o0/edit?usp=sharing"",""งบพรบ!DO41"")"),0)</f>
        <v>0</v>
      </c>
      <c r="N285" s="93">
        <f ca="1">IFERROR(__xludf.DUMMYFUNCTION("IMPORTRANGE(""https://docs.google.com/spreadsheets/d/1MeEWN-I1oV_STSDYn1IFDPWt_1FKiwhDph83XaGc0o0/edit?usp=sharing"",""งบพรบ!DQ41"")"),0)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IFERROR(__xludf.DUMMYFUNCTION("IMPORTRANGE(""https://docs.google.com/spreadsheets/d/1QqKyyYR6Q21VydFLVH3TRQUabQu_ym0Zz7PgGX0-kHA/edit?usp=sharing"",""แผน!EC41"")"),50)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IFERROR(__xludf.DUMMYFUNCTION("IMPORTRANGE(""https://docs.google.com/spreadsheets/d/1QqKyyYR6Q21VydFLVH3TRQUabQu_ym0Zz7PgGX0-kHA/edit?usp=sharing"",""แผน!EB41"")"),5)</f>
        <v>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IFERROR(__xludf.DUMMYFUNCTION("IMPORTRANGE(""https://docs.google.com/spreadsheets/d/1QqKyyYR6Q21VydFLVH3TRQUabQu_ym0Zz7PgGX0-kHA/edit?usp=sharing"",""แผน!EB41"")"),5)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IFERROR(__xludf.DUMMYFUNCTION("IMPORTRANGE(""https://docs.google.com/spreadsheets/d/1QqKyyYR6Q21VydFLVH3TRQUabQu_ym0Zz7PgGX0-kHA/edit?usp=sharing"",""แผน!EB41"")"),5)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IFERROR(__xludf.DUMMYFUNCTION("IMPORTRANGE(""https://docs.google.com/spreadsheets/d/1QqKyyYR6Q21VydFLVH3TRQUabQu_ym0Zz7PgGX0-kHA/edit?usp=sharing"",""แผน!EB41"")"),5)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IFERROR(__xludf.DUMMYFUNCTION("IMPORTRANGE(""https://docs.google.com/spreadsheets/d/1QqKyyYR6Q21VydFLVH3TRQUabQu_ym0Zz7PgGX0-kHA/edit?usp=sharing"",""แผน!EB41"")"),5)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19300</v>
      </c>
      <c r="O298" s="155">
        <f t="shared" ref="O298:O306" ca="1" si="136">IF(L298&gt;0,N298*100/L298,0)</f>
        <v>23.422330097087379</v>
      </c>
      <c r="P298" s="155">
        <f t="shared" ref="P298:P306" ca="1" si="137">IF(M298&gt;0,N298*100/M298,0)</f>
        <v>29.968944099378881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19300</v>
      </c>
      <c r="O300" s="93">
        <f t="shared" ca="1" si="136"/>
        <v>23.422330097087379</v>
      </c>
      <c r="P300" s="93">
        <f t="shared" ca="1" si="137"/>
        <v>29.968944099378881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19300</v>
      </c>
      <c r="O301" s="497">
        <f t="shared" ca="1" si="136"/>
        <v>23.422330097087379</v>
      </c>
      <c r="P301" s="497">
        <f t="shared" ca="1" si="137"/>
        <v>29.968944099378881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IFERROR(__xludf.DUMMYFUNCTION("IMPORTRANGE(""https://docs.google.com/spreadsheets/d/1MeEWN-I1oV_STSDYn1IFDPWt_1FKiwhDph83XaGc0o0/edit?usp=sharing"",""งบพรบ!DS41"")"),82400)</f>
        <v>82400</v>
      </c>
      <c r="M303" s="93">
        <f ca="1">IFERROR(__xludf.DUMMYFUNCTION("IMPORTRANGE(""https://docs.google.com/spreadsheets/d/1MeEWN-I1oV_STSDYn1IFDPWt_1FKiwhDph83XaGc0o0/edit?usp=sharing"",""งบพรบ!DX41"")"),64400)</f>
        <v>64400</v>
      </c>
      <c r="N303" s="93">
        <f ca="1">IFERROR(__xludf.DUMMYFUNCTION("IMPORTRANGE(""https://docs.google.com/spreadsheets/d/1MeEWN-I1oV_STSDYn1IFDPWt_1FKiwhDph83XaGc0o0/edit?usp=sharing"",""งบพรบ!DZ41"")"),19300)</f>
        <v>19300</v>
      </c>
      <c r="O303" s="93">
        <f t="shared" ca="1" si="136"/>
        <v>23.422330097087379</v>
      </c>
      <c r="P303" s="93">
        <f t="shared" ca="1" si="137"/>
        <v>29.968944099378881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IFERROR(__xludf.DUMMYFUNCTION("IMPORTRANGE(""https://docs.google.com/spreadsheets/d/1MeEWN-I1oV_STSDYn1IFDPWt_1FKiwhDph83XaGc0o0/edit?usp=sharing"",""งบพรบ!DV41"")"),0)</f>
        <v>0</v>
      </c>
      <c r="M306" s="93">
        <f ca="1">IFERROR(__xludf.DUMMYFUNCTION("IMPORTRANGE(""https://docs.google.com/spreadsheets/d/1MeEWN-I1oV_STSDYn1IFDPWt_1FKiwhDph83XaGc0o0/edit?usp=sharing"",""งบพรบ!DY41"")"),0)</f>
        <v>0</v>
      </c>
      <c r="N306" s="93">
        <f ca="1">IFERROR(__xludf.DUMMYFUNCTION("IMPORTRANGE(""https://docs.google.com/spreadsheets/d/1MeEWN-I1oV_STSDYn1IFDPWt_1FKiwhDph83XaGc0o0/edit?usp=sharing"",""งบพรบ!EA41"")"),0)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IFERROR(__xludf.DUMMYFUNCTION("IMPORTRANGE(""https://docs.google.com/spreadsheets/d/1QqKyyYR6Q21VydFLVH3TRQUabQu_ym0Zz7PgGX0-kHA/edit?usp=sharing"",""แผน!ED41"")"),20)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IFERROR(__xludf.DUMMYFUNCTION("IMPORTRANGE(""https://docs.google.com/spreadsheets/d/1MeEWN-I1oV_STSDYn1IFDPWt_1FKiwhDph83XaGc0o0/edit?usp=sharing"",""งบพรบ!EC41"")"),0)</f>
        <v>0</v>
      </c>
      <c r="M320" s="93">
        <f ca="1">IFERROR(__xludf.DUMMYFUNCTION("IMPORTRANGE(""https://docs.google.com/spreadsheets/d/1MeEWN-I1oV_STSDYn1IFDPWt_1FKiwhDph83XaGc0o0/edit?usp=sharing"",""งบพรบ!EH41"")"),0)</f>
        <v>0</v>
      </c>
      <c r="N320" s="93">
        <f ca="1">IFERROR(__xludf.DUMMYFUNCTION("IMPORTRANGE(""https://docs.google.com/spreadsheets/d/1MeEWN-I1oV_STSDYn1IFDPWt_1FKiwhDph83XaGc0o0/edit?usp=sharing"",""งบพรบ!EJ41"")"),0)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IFERROR(__xludf.DUMMYFUNCTION("IMPORTRANGE(""https://docs.google.com/spreadsheets/d/1MeEWN-I1oV_STSDYn1IFDPWt_1FKiwhDph83XaGc0o0/edit?usp=sharing"",""งบพรบ!EF41"")"),0)</f>
        <v>0</v>
      </c>
      <c r="M323" s="93">
        <f ca="1">IFERROR(__xludf.DUMMYFUNCTION("IMPORTRANGE(""https://docs.google.com/spreadsheets/d/1MeEWN-I1oV_STSDYn1IFDPWt_1FKiwhDph83XaGc0o0/edit?usp=sharing"",""งบพรบ!EI41"")"),0)</f>
        <v>0</v>
      </c>
      <c r="N323" s="93">
        <f ca="1">IFERROR(__xludf.DUMMYFUNCTION("IMPORTRANGE(""https://docs.google.com/spreadsheets/d/1MeEWN-I1oV_STSDYn1IFDPWt_1FKiwhDph83XaGc0o0/edit?usp=sharing"",""งบพรบ!EK41"")"),0)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IFERROR(__xludf.DUMMYFUNCTION("IMPORTRANGE(""https://docs.google.com/spreadsheets/d/1QqKyyYR6Q21VydFLVH3TRQUabQu_ym0Zz7PgGX0-kHA/edit?usp=sharing"",""แผน!EG41"")"),3200)</f>
        <v>3200</v>
      </c>
      <c r="J327" s="444">
        <f ca="1">J338+J341+J342+J343</f>
        <v>4537</v>
      </c>
      <c r="K327" s="445">
        <f ca="1">IF(I327&gt;0,J327*100/I327,0)</f>
        <v>141.78125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129016</v>
      </c>
      <c r="O328" s="155">
        <f t="shared" ref="O328:O336" ca="1" si="150">IF(L328&gt;0,N328*100/L328,0)</f>
        <v>72.075977653631284</v>
      </c>
      <c r="P328" s="155">
        <f t="shared" ref="P328:P336" ca="1" si="151">IF(M328&gt;0,N328*100/M328,0)</f>
        <v>94.344424131627051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129016</v>
      </c>
      <c r="O330" s="93">
        <f t="shared" ca="1" si="150"/>
        <v>72.075977653631284</v>
      </c>
      <c r="P330" s="93">
        <f t="shared" ca="1" si="151"/>
        <v>94.344424131627051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136750</v>
      </c>
      <c r="N331" s="497">
        <f t="shared" ca="1" si="153"/>
        <v>129016</v>
      </c>
      <c r="O331" s="497">
        <f t="shared" ca="1" si="150"/>
        <v>72.075977653631284</v>
      </c>
      <c r="P331" s="497">
        <f t="shared" ca="1" si="151"/>
        <v>94.344424131627051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IFERROR(__xludf.DUMMYFUNCTION("IMPORTRANGE(""https://docs.google.com/spreadsheets/d/1MeEWN-I1oV_STSDYn1IFDPWt_1FKiwhDph83XaGc0o0/edit?usp=sharing"",""งบพรบ!EM41"")"),179000)</f>
        <v>179000</v>
      </c>
      <c r="M333" s="93">
        <f ca="1">IFERROR(__xludf.DUMMYFUNCTION("IMPORTRANGE(""https://docs.google.com/spreadsheets/d/1MeEWN-I1oV_STSDYn1IFDPWt_1FKiwhDph83XaGc0o0/edit?usp=sharing"",""งบพรบ!ER41"")"),136750)</f>
        <v>136750</v>
      </c>
      <c r="N333" s="93">
        <f ca="1">IFERROR(__xludf.DUMMYFUNCTION("IMPORTRANGE(""https://docs.google.com/spreadsheets/d/1MeEWN-I1oV_STSDYn1IFDPWt_1FKiwhDph83XaGc0o0/edit?usp=sharing"",""งบพรบ!ET41"")"),129016)</f>
        <v>129016</v>
      </c>
      <c r="O333" s="93">
        <f t="shared" ca="1" si="150"/>
        <v>72.075977653631284</v>
      </c>
      <c r="P333" s="93">
        <f t="shared" ca="1" si="151"/>
        <v>94.344424131627051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IFERROR(__xludf.DUMMYFUNCTION("IMPORTRANGE(""https://docs.google.com/spreadsheets/d/1MeEWN-I1oV_STSDYn1IFDPWt_1FKiwhDph83XaGc0o0/edit?usp=sharing"",""งบพรบ!EP41"")"),0)</f>
        <v>0</v>
      </c>
      <c r="M336" s="93">
        <f ca="1">IFERROR(__xludf.DUMMYFUNCTION("IMPORTRANGE(""https://docs.google.com/spreadsheets/d/1MeEWN-I1oV_STSDYn1IFDPWt_1FKiwhDph83XaGc0o0/edit?usp=sharing"",""งบพรบ!ES41"")"),0)</f>
        <v>0</v>
      </c>
      <c r="N336" s="93">
        <f ca="1">IFERROR(__xludf.DUMMYFUNCTION("IMPORTRANGE(""https://docs.google.com/spreadsheets/d/1MeEWN-I1oV_STSDYn1IFDPWt_1FKiwhDph83XaGc0o0/edit?usp=sharing"",""งบพรบ!EU41"")"),0)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IFERROR(__xludf.DUMMYFUNCTION("IMPORTRANGE(""https://docs.google.com/spreadsheets/d/1QqKyyYR6Q21VydFLVH3TRQUabQu_ym0Zz7PgGX0-kHA/edit?usp=sharing"",""แผน!EG41"")"),3200)</f>
        <v>3200</v>
      </c>
      <c r="J338" s="270">
        <f ca="1">IFERROR(__xludf.DUMMYFUNCTION("IMPORTRANGE(""https://docs.google.com/spreadsheets/d/1kVcqe37tkHyjCSG3S0O1AXqVkqjo8mSIZil3BcpIysc/edit?usp=sharing"",""ศูนย์!D41"")"),4144)</f>
        <v>4144</v>
      </c>
      <c r="K338" s="497">
        <f ca="1">IF(I338&gt;0,J338*100/I338,0)</f>
        <v>129.5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IFERROR(__xludf.DUMMYFUNCTION("IMPORTRANGE(""https://docs.google.com/spreadsheets/d/1QqKyyYR6Q21VydFLVH3TRQUabQu_ym0Zz7PgGX0-kHA/edit?usp=sharing"",""แผน!EH41"")"),8)</f>
        <v>8</v>
      </c>
      <c r="J340" s="270">
        <f ca="1">IFERROR(__xludf.DUMMYFUNCTION("IMPORTRANGE(""https://docs.google.com/spreadsheets/d/1kVcqe37tkHyjCSG3S0O1AXqVkqjo8mSIZil3BcpIysc/edit?usp=sharing"",""ศูนย์!E41"")"),13)</f>
        <v>13</v>
      </c>
      <c r="K340" s="497">
        <f ca="1">IF(I340&gt;0,J340*100/I340,0)</f>
        <v>162.5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IFERROR(__xludf.DUMMYFUNCTION("IMPORTRANGE(""https://docs.google.com/spreadsheets/d/1kVcqe37tkHyjCSG3S0O1AXqVkqjo8mSIZil3BcpIysc/edit?usp=sharing"",""ศูนย์!F41"")"),393)</f>
        <v>393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791770</v>
      </c>
      <c r="M345" s="155">
        <f t="shared" ca="1" si="155"/>
        <v>615435</v>
      </c>
      <c r="N345" s="155">
        <f t="shared" ca="1" si="155"/>
        <v>462511</v>
      </c>
      <c r="O345" s="155">
        <f t="shared" ref="O345:O353" ca="1" si="156">IF(L345&gt;0,N345*100/L345,0)</f>
        <v>58.414817434355939</v>
      </c>
      <c r="P345" s="155">
        <f t="shared" ref="P345:P353" ca="1" si="157">IF(M345&gt;0,N345*100/M345,0)</f>
        <v>75.151884439461526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791770</v>
      </c>
      <c r="M347" s="93">
        <f t="shared" ca="1" si="158"/>
        <v>615435</v>
      </c>
      <c r="N347" s="93">
        <f t="shared" ca="1" si="158"/>
        <v>462511</v>
      </c>
      <c r="O347" s="93">
        <f t="shared" ca="1" si="156"/>
        <v>58.414817434355939</v>
      </c>
      <c r="P347" s="93">
        <f t="shared" ca="1" si="157"/>
        <v>75.151884439461526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700170</v>
      </c>
      <c r="M348" s="497">
        <f t="shared" ca="1" si="159"/>
        <v>523835</v>
      </c>
      <c r="N348" s="497">
        <f t="shared" ca="1" si="159"/>
        <v>370911</v>
      </c>
      <c r="O348" s="497">
        <f t="shared" ca="1" si="156"/>
        <v>52.974420497879088</v>
      </c>
      <c r="P348" s="497">
        <f t="shared" ca="1" si="157"/>
        <v>70.806838031059399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IFERROR(__xludf.DUMMYFUNCTION("IMPORTRANGE(""https://docs.google.com/spreadsheets/d/1MeEWN-I1oV_STSDYn1IFDPWt_1FKiwhDph83XaGc0o0/edit?usp=sharing"",""งบพรบ!EW41"")"),700170)</f>
        <v>700170</v>
      </c>
      <c r="M350" s="93">
        <f ca="1">IFERROR(__xludf.DUMMYFUNCTION("IMPORTRANGE(""https://docs.google.com/spreadsheets/d/1MeEWN-I1oV_STSDYn1IFDPWt_1FKiwhDph83XaGc0o0/edit?usp=sharing"",""งบพรบ!FB41"")"),523835)</f>
        <v>523835</v>
      </c>
      <c r="N350" s="93">
        <f ca="1">IFERROR(__xludf.DUMMYFUNCTION("IMPORTRANGE(""https://docs.google.com/spreadsheets/d/1MeEWN-I1oV_STSDYn1IFDPWt_1FKiwhDph83XaGc0o0/edit?usp=sharing"",""งบพรบ!FD41"")"),370911)</f>
        <v>370911</v>
      </c>
      <c r="O350" s="93">
        <f t="shared" ca="1" si="156"/>
        <v>52.974420497879088</v>
      </c>
      <c r="P350" s="93">
        <f t="shared" ca="1" si="157"/>
        <v>70.806838031059399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91600</v>
      </c>
      <c r="M351" s="497">
        <f t="shared" ca="1" si="160"/>
        <v>91600</v>
      </c>
      <c r="N351" s="497">
        <f t="shared" ca="1" si="160"/>
        <v>91600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IFERROR(__xludf.DUMMYFUNCTION("IMPORTRANGE(""https://docs.google.com/spreadsheets/d/1MeEWN-I1oV_STSDYn1IFDPWt_1FKiwhDph83XaGc0o0/edit?usp=sharing"",""งบพรบ!EZ41"")"),91600)</f>
        <v>91600</v>
      </c>
      <c r="M353" s="93">
        <f ca="1">IFERROR(__xludf.DUMMYFUNCTION("IMPORTRANGE(""https://docs.google.com/spreadsheets/d/1MeEWN-I1oV_STSDYn1IFDPWt_1FKiwhDph83XaGc0o0/edit?usp=sharing"",""งบพรบ!FC41"")"),91600)</f>
        <v>91600</v>
      </c>
      <c r="N353" s="93">
        <f ca="1">IFERROR(__xludf.DUMMYFUNCTION("IMPORTRANGE(""https://docs.google.com/spreadsheets/d/1MeEWN-I1oV_STSDYn1IFDPWt_1FKiwhDph83XaGc0o0/edit?usp=sharing"",""งบพรบ!FE41"")"),91600)</f>
        <v>91600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IFERROR(__xludf.DUMMYFUNCTION("IMPORTRANGE(""https://docs.google.com/spreadsheets/d/1QqKyyYR6Q21VydFLVH3TRQUabQu_ym0Zz7PgGX0-kHA/edit?usp=sharing"",""แผน!EP41"")"),530)</f>
        <v>530</v>
      </c>
      <c r="J355" s="464">
        <f ca="1">J362</f>
        <v>166</v>
      </c>
      <c r="K355" s="465">
        <f ca="1">IF(I355&gt;0,J355*100/I355,0)</f>
        <v>31.320754716981131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IFERROR(__xludf.DUMMYFUNCTION("IMPORTRANGE(""https://docs.google.com/spreadsheets/d/1XWAQStnk-4SwqDmLtmXYiTMKHgktTP8We1SCoS47DrQ/edit?usp=sharing"",""จัดที่ดิน!W41"")"),182)</f>
        <v>182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IFERROR(__xludf.DUMMYFUNCTION("IMPORTRANGE(""https://docs.google.com/spreadsheets/d/1QqKyyYR6Q21VydFLVH3TRQUabQu_ym0Zz7PgGX0-kHA/edit?usp=sharing"",""แผน!EO41"")"),4700)</f>
        <v>4700</v>
      </c>
      <c r="J359" s="270">
        <f ca="1">IFERROR(__xludf.DUMMYFUNCTION("IMPORTRANGE(""https://docs.google.com/spreadsheets/d/1XWAQStnk-4SwqDmLtmXYiTMKHgktTP8We1SCoS47DrQ/edit?usp=sharing"",""จัดที่ดิน!X41"")"),1151.51)</f>
        <v>1151.51</v>
      </c>
      <c r="K359" s="497">
        <f t="shared" ca="1" si="161"/>
        <v>24.500212765957446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IFERROR(__xludf.DUMMYFUNCTION("IMPORTRANGE(""https://docs.google.com/spreadsheets/d/1QqKyyYR6Q21VydFLVH3TRQUabQu_ym0Zz7PgGX0-kHA/edit?usp=sharing"",""แผน!EP41"")"),530)</f>
        <v>530</v>
      </c>
      <c r="J360" s="270">
        <f ca="1">IFERROR(__xludf.DUMMYFUNCTION("IMPORTRANGE(""https://docs.google.com/spreadsheets/d/1XWAQStnk-4SwqDmLtmXYiTMKHgktTP8We1SCoS47DrQ/edit?usp=sharing"",""จัดที่ดิน!Y41"")"),192)</f>
        <v>192</v>
      </c>
      <c r="K360" s="497">
        <f t="shared" ca="1" si="161"/>
        <v>36.226415094339622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IFERROR(__xludf.DUMMYFUNCTION("IMPORTRANGE(""https://docs.google.com/spreadsheets/d/1XWAQStnk-4SwqDmLtmXYiTMKHgktTP8We1SCoS47DrQ/edit?usp=sharing"",""จัดที่ดิน!Z41"")"),1224.33)</f>
        <v>1224.33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IFERROR(__xludf.DUMMYFUNCTION("IMPORTRANGE(""https://docs.google.com/spreadsheets/d/1QqKyyYR6Q21VydFLVH3TRQUabQu_ym0Zz7PgGX0-kHA/edit?usp=sharing"",""แผน!EP41"")"),530)</f>
        <v>530</v>
      </c>
      <c r="J362" s="270">
        <f ca="1">IFERROR(__xludf.DUMMYFUNCTION("IMPORTRANGE(""https://docs.google.com/spreadsheets/d/1XWAQStnk-4SwqDmLtmXYiTMKHgktTP8We1SCoS47DrQ/edit?usp=sharing"",""จัดที่ดิน!AA41"")"),166)</f>
        <v>166</v>
      </c>
      <c r="K362" s="497">
        <f t="shared" ca="1" si="161"/>
        <v>31.320754716981131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IFERROR(__xludf.DUMMYFUNCTION("IMPORTRANGE(""https://docs.google.com/spreadsheets/d/1XWAQStnk-4SwqDmLtmXYiTMKHgktTP8We1SCoS47DrQ/edit?usp=sharing"",""จัดที่ดิน!AB41"")"),1074.72)</f>
        <v>1074.72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1135</v>
      </c>
      <c r="J364" s="478">
        <f t="shared" ca="1" si="162"/>
        <v>541</v>
      </c>
      <c r="K364" s="479">
        <f t="shared" ca="1" si="161"/>
        <v>47.665198237885463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IFERROR(__xludf.DUMMYFUNCTION("IMPORTRANGE(""https://docs.google.com/spreadsheets/d/1QqKyyYR6Q21VydFLVH3TRQUabQu_ym0Zz7PgGX0-kHA/edit?usp=sharing"",""แผน!EJ41"")"),140)</f>
        <v>140</v>
      </c>
      <c r="J365" s="490">
        <f ca="1">J372</f>
        <v>97</v>
      </c>
      <c r="K365" s="491">
        <f t="shared" ca="1" si="161"/>
        <v>69.285714285714292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IFERROR(__xludf.DUMMYFUNCTION("IMPORTRANGE(""https://docs.google.com/spreadsheets/d/1XWAQStnk-4SwqDmLtmXYiTMKHgktTP8We1SCoS47DrQ/edit?usp=sharing"",""จัดที่ดิน!E41"")"),112)</f>
        <v>112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IFERROR(__xludf.DUMMYFUNCTION("IMPORTRANGE(""https://docs.google.com/spreadsheets/d/1QqKyyYR6Q21VydFLVH3TRQUabQu_ym0Zz7PgGX0-kHA/edit?usp=sharing"",""แผน!EI41"")"),1400)</f>
        <v>1400</v>
      </c>
      <c r="J369" s="270">
        <f ca="1">IFERROR(__xludf.DUMMYFUNCTION("IMPORTRANGE(""https://docs.google.com/spreadsheets/d/1XWAQStnk-4SwqDmLtmXYiTMKHgktTP8We1SCoS47DrQ/edit?usp=sharing"",""จัดที่ดิน!F41"")"),712.66)</f>
        <v>712.66</v>
      </c>
      <c r="K369" s="497">
        <f t="shared" ca="1" si="163"/>
        <v>50.904285714285713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IFERROR(__xludf.DUMMYFUNCTION("IMPORTRANGE(""https://docs.google.com/spreadsheets/d/1QqKyyYR6Q21VydFLVH3TRQUabQu_ym0Zz7PgGX0-kHA/edit?usp=sharing"",""แผน!EJ41"")"),140)</f>
        <v>140</v>
      </c>
      <c r="J370" s="270">
        <f ca="1">IFERROR(__xludf.DUMMYFUNCTION("IMPORTRANGE(""https://docs.google.com/spreadsheets/d/1XWAQStnk-4SwqDmLtmXYiTMKHgktTP8We1SCoS47DrQ/edit?usp=sharing"",""จัดที่ดิน!G41"")"),121)</f>
        <v>121</v>
      </c>
      <c r="K370" s="497">
        <f t="shared" ca="1" si="163"/>
        <v>86.428571428571431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IFERROR(__xludf.DUMMYFUNCTION("IMPORTRANGE(""https://docs.google.com/spreadsheets/d/1XWAQStnk-4SwqDmLtmXYiTMKHgktTP8We1SCoS47DrQ/edit?usp=sharing"",""จัดที่ดิน!H41"")"),770.13)</f>
        <v>770.13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IFERROR(__xludf.DUMMYFUNCTION("IMPORTRANGE(""https://docs.google.com/spreadsheets/d/1QqKyyYR6Q21VydFLVH3TRQUabQu_ym0Zz7PgGX0-kHA/edit?usp=sharing"",""แผน!EJ41"")"),140)</f>
        <v>140</v>
      </c>
      <c r="J372" s="270">
        <f ca="1">IFERROR(__xludf.DUMMYFUNCTION("IMPORTRANGE(""https://docs.google.com/spreadsheets/d/1XWAQStnk-4SwqDmLtmXYiTMKHgktTP8We1SCoS47DrQ/edit?usp=sharing"",""จัดที่ดิน!I41"")"),97)</f>
        <v>97</v>
      </c>
      <c r="K372" s="497">
        <f t="shared" ca="1" si="163"/>
        <v>69.285714285714292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IFERROR(__xludf.DUMMYFUNCTION("IMPORTRANGE(""https://docs.google.com/spreadsheets/d/1XWAQStnk-4SwqDmLtmXYiTMKHgktTP8We1SCoS47DrQ/edit?usp=sharing"",""จัดที่ดิน!J41"")"),623.55)</f>
        <v>623.54999999999995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IFERROR(__xludf.DUMMYFUNCTION("IMPORTRANGE(""https://docs.google.com/spreadsheets/d/1QqKyyYR6Q21VydFLVH3TRQUabQu_ym0Zz7PgGX0-kHA/edit?usp=sharing"",""แผน!EU41"")"),995)</f>
        <v>995</v>
      </c>
      <c r="J374" s="490">
        <f ca="1">J381</f>
        <v>444</v>
      </c>
      <c r="K374" s="491">
        <f t="shared" ca="1" si="163"/>
        <v>44.62311557788945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IFERROR(__xludf.DUMMYFUNCTION("IMPORTRANGE(""https://docs.google.com/spreadsheets/d/1XWAQStnk-4SwqDmLtmXYiTMKHgktTP8We1SCoS47DrQ/edit?usp=sharing"",""จัดที่ดิน!AH41"")"),70)</f>
        <v>70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IFERROR(__xludf.DUMMYFUNCTION("IMPORTRANGE(""https://docs.google.com/spreadsheets/d/1QqKyyYR6Q21VydFLVH3TRQUabQu_ym0Zz7PgGX0-kHA/edit?usp=sharing"",""แผน!ET41"")"),3300)</f>
        <v>3300</v>
      </c>
      <c r="J378" s="270">
        <f ca="1">IFERROR(__xludf.DUMMYFUNCTION("IMPORTRANGE(""https://docs.google.com/spreadsheets/d/1XWAQStnk-4SwqDmLtmXYiTMKHgktTP8We1SCoS47DrQ/edit?usp=sharing"",""จัดที่ดิน!AI41"")"),438.85)</f>
        <v>438.85</v>
      </c>
      <c r="K378" s="497">
        <f t="shared" ca="1" si="164"/>
        <v>13.298484848484849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IFERROR(__xludf.DUMMYFUNCTION("IMPORTRANGE(""https://docs.google.com/spreadsheets/d/1QqKyyYR6Q21VydFLVH3TRQUabQu_ym0Zz7PgGX0-kHA/edit?usp=sharing"",""แผน!EU41"")"),995)</f>
        <v>995</v>
      </c>
      <c r="J379" s="270">
        <f ca="1">IFERROR(__xludf.DUMMYFUNCTION("IMPORTRANGE(""https://docs.google.com/spreadsheets/d/1XWAQStnk-4SwqDmLtmXYiTMKHgktTP8We1SCoS47DrQ/edit?usp=sharing"",""จัดที่ดิน!AJ41"")"),447)</f>
        <v>447</v>
      </c>
      <c r="K379" s="497">
        <f t="shared" ca="1" si="164"/>
        <v>44.924623115577887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IFERROR(__xludf.DUMMYFUNCTION("IMPORTRANGE(""https://docs.google.com/spreadsheets/d/1XWAQStnk-4SwqDmLtmXYiTMKHgktTP8We1SCoS47DrQ/edit?usp=sharing"",""จัดที่ดิน!AK41"")"),4804.11)</f>
        <v>4804.1099999999997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IFERROR(__xludf.DUMMYFUNCTION("IMPORTRANGE(""https://docs.google.com/spreadsheets/d/1QqKyyYR6Q21VydFLVH3TRQUabQu_ym0Zz7PgGX0-kHA/edit?usp=sharing"",""แผน!EU41"")"),995)</f>
        <v>995</v>
      </c>
      <c r="J381" s="270">
        <f ca="1">IFERROR(__xludf.DUMMYFUNCTION("IMPORTRANGE(""https://docs.google.com/spreadsheets/d/1XWAQStnk-4SwqDmLtmXYiTMKHgktTP8We1SCoS47DrQ/edit?usp=sharing"",""จัดที่ดิน!AL41"")"),444)</f>
        <v>444</v>
      </c>
      <c r="K381" s="497">
        <f t="shared" ca="1" si="164"/>
        <v>44.62311557788945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IFERROR(__xludf.DUMMYFUNCTION("IMPORTRANGE(""https://docs.google.com/spreadsheets/d/1XWAQStnk-4SwqDmLtmXYiTMKHgktTP8We1SCoS47DrQ/edit?usp=sharing"",""จัดที่ดิน!AM41"")"),4794.37)</f>
        <v>4794.37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IFERROR(__xludf.DUMMYFUNCTION("IMPORTRANGE(""https://docs.google.com/spreadsheets/d/1QqKyyYR6Q21VydFLVH3TRQUabQu_ym0Zz7PgGX0-kHA/edit?usp=sharing"",""แผน!EW41"")"),50)</f>
        <v>50</v>
      </c>
      <c r="J385" s="504">
        <f ca="1">IFERROR(__xludf.DUMMYFUNCTION("IMPORTRANGE(""https://docs.google.com/spreadsheets/d/1XWAQStnk-4SwqDmLtmXYiTMKHgktTP8We1SCoS47DrQ/edit?usp=sharing"",""จัดที่ดิน!AP41"")"),27)</f>
        <v>27</v>
      </c>
      <c r="K385" s="505">
        <f ca="1">IF(I385&gt;0,J385*100/I385,0)</f>
        <v>54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IFERROR(__xludf.DUMMYFUNCTION("IMPORTRANGE(""https://docs.google.com/spreadsheets/d/1MeEWN-I1oV_STSDYn1IFDPWt_1FKiwhDph83XaGc0o0/edit?usp=sharing"",""งบพรบ!FG41"")"),0)</f>
        <v>0</v>
      </c>
      <c r="M394" s="93">
        <f ca="1">IFERROR(__xludf.DUMMYFUNCTION("IMPORTRANGE(""https://docs.google.com/spreadsheets/d/1MeEWN-I1oV_STSDYn1IFDPWt_1FKiwhDph83XaGc0o0/edit?usp=sharing"",""งบพรบ!FL41"")"),0)</f>
        <v>0</v>
      </c>
      <c r="N394" s="93">
        <f ca="1">IFERROR(__xludf.DUMMYFUNCTION("IMPORTRANGE(""https://docs.google.com/spreadsheets/d/1MeEWN-I1oV_STSDYn1IFDPWt_1FKiwhDph83XaGc0o0/edit?usp=sharing"",""งบพรบ!FN41"")"),0)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IFERROR(__xludf.DUMMYFUNCTION("IMPORTRANGE(""https://docs.google.com/spreadsheets/d/1MeEWN-I1oV_STSDYn1IFDPWt_1FKiwhDph83XaGc0o0/edit?usp=sharing"",""งบพรบ!FJ41"")"),0)</f>
        <v>0</v>
      </c>
      <c r="M397" s="93">
        <f ca="1">IFERROR(__xludf.DUMMYFUNCTION("IMPORTRANGE(""https://docs.google.com/spreadsheets/d/1MeEWN-I1oV_STSDYn1IFDPWt_1FKiwhDph83XaGc0o0/edit?usp=sharing"",""งบพรบ!FM41"")"),0)</f>
        <v>0</v>
      </c>
      <c r="N397" s="93">
        <f ca="1">IFERROR(__xludf.DUMMYFUNCTION("IMPORTRANGE(""https://docs.google.com/spreadsheets/d/1MeEWN-I1oV_STSDYn1IFDPWt_1FKiwhDph83XaGc0o0/edit?usp=sharing"",""งบพรบ!FO41"")"),0)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IFERROR(__xludf.DUMMYFUNCTION("IMPORTRANGE(""https://docs.google.com/spreadsheets/d/1MeEWN-I1oV_STSDYn1IFDPWt_1FKiwhDph83XaGc0o0/edit?usp=sharing"",""งบพรบ!FQ41"")"),0)</f>
        <v>0</v>
      </c>
      <c r="M407" s="93">
        <f ca="1">IFERROR(__xludf.DUMMYFUNCTION("IMPORTRANGE(""https://docs.google.com/spreadsheets/d/1MeEWN-I1oV_STSDYn1IFDPWt_1FKiwhDph83XaGc0o0/edit?usp=sharing"",""งบพรบ!FV41"")"),0)</f>
        <v>0</v>
      </c>
      <c r="N407" s="93">
        <f ca="1">IFERROR(__xludf.DUMMYFUNCTION("IMPORTRANGE(""https://docs.google.com/spreadsheets/d/1MeEWN-I1oV_STSDYn1IFDPWt_1FKiwhDph83XaGc0o0/edit?usp=sharing"",""งบพรบ!FX41"")"),0)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IFERROR(__xludf.DUMMYFUNCTION("IMPORTRANGE(""https://docs.google.com/spreadsheets/d/1MeEWN-I1oV_STSDYn1IFDPWt_1FKiwhDph83XaGc0o0/edit?usp=sharing"",""งบพรบ!FT41"")"),0)</f>
        <v>0</v>
      </c>
      <c r="M410" s="93">
        <f ca="1">IFERROR(__xludf.DUMMYFUNCTION("IMPORTRANGE(""https://docs.google.com/spreadsheets/d/1MeEWN-I1oV_STSDYn1IFDPWt_1FKiwhDph83XaGc0o0/edit?usp=sharing"",""งบพรบ!FW41"")"),0)</f>
        <v>0</v>
      </c>
      <c r="N410" s="93">
        <f ca="1">IFERROR(__xludf.DUMMYFUNCTION("IMPORTRANGE(""https://docs.google.com/spreadsheets/d/1MeEWN-I1oV_STSDYn1IFDPWt_1FKiwhDph83XaGc0o0/edit?usp=sharing"",""งบพรบ!FY41"")"),0)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1932863</v>
      </c>
      <c r="M414" s="552">
        <f t="shared" ca="1" si="181"/>
        <v>1932863</v>
      </c>
      <c r="N414" s="552">
        <f t="shared" si="181"/>
        <v>972634</v>
      </c>
      <c r="O414" s="552">
        <f ca="1">IF(L414&gt;0,N414*100/L414,0)</f>
        <v>50.320897032019339</v>
      </c>
      <c r="P414" s="552">
        <f ca="1">IF(M414&gt;0,N414*100/M414,0)</f>
        <v>50.320897032019339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62640</v>
      </c>
      <c r="O419" s="155">
        <f t="shared" ref="O419:O424" ca="1" si="185">IF(L419&gt;0,N419*100/L419,0)</f>
        <v>79.633867276887869</v>
      </c>
      <c r="P419" s="155">
        <f t="shared" ref="P419:P424" ca="1" si="186">IF(M419&gt;0,N419*100/M419,0)</f>
        <v>79.633867276887869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62640</v>
      </c>
      <c r="O421" s="93">
        <f t="shared" ca="1" si="185"/>
        <v>79.633867276887869</v>
      </c>
      <c r="P421" s="93">
        <f t="shared" ca="1" si="186"/>
        <v>79.633867276887869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62640</v>
      </c>
      <c r="O422" s="497">
        <f t="shared" ca="1" si="185"/>
        <v>79.633867276887869</v>
      </c>
      <c r="P422" s="497">
        <f t="shared" ca="1" si="186"/>
        <v>79.633867276887869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IFERROR(__xludf.DUMMYFUNCTION("IMPORTRANGE(""https://docs.google.com/spreadsheets/d/1QqKyyYR6Q21VydFLVH3TRQUabQu_ym0Zz7PgGX0-kHA/edit?usp=sharing"",""แผน!EY41"")"),78660)</f>
        <v>78660</v>
      </c>
      <c r="M424" s="93">
        <f ca="1">L424</f>
        <v>78660</v>
      </c>
      <c r="N424" s="93">
        <f>N425+N426+N427+N428</f>
        <v>62640</v>
      </c>
      <c r="O424" s="93">
        <f t="shared" ca="1" si="185"/>
        <v>79.633867276887869</v>
      </c>
      <c r="P424" s="93">
        <f t="shared" ca="1" si="186"/>
        <v>79.633867276887869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47480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8660+3230+3270</f>
        <v>15160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IFERROR(__xludf.DUMMYFUNCTION("IMPORTRANGE(""https://docs.google.com/spreadsheets/d/1QqKyyYR6Q21VydFLVH3TRQUabQu_ym0Zz7PgGX0-kHA/edit?usp=sharing"",""แผน!FC41"")"),20)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IFERROR(__xludf.DUMMYFUNCTION("IMPORTRANGE(""https://docs.google.com/spreadsheets/d/1QqKyyYR6Q21VydFLVH3TRQUabQu_ym0Zz7PgGX0-kHA/edit?usp=sharing"",""แผน!FF41"")"),20)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280</v>
      </c>
      <c r="J443" s="568">
        <f t="shared" si="196"/>
        <v>280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616680</v>
      </c>
      <c r="M444" s="195">
        <f t="shared" ca="1" si="197"/>
        <v>616680</v>
      </c>
      <c r="N444" s="195">
        <f t="shared" si="197"/>
        <v>454076</v>
      </c>
      <c r="O444" s="195">
        <f t="shared" ref="O444:O449" ca="1" si="198">IF(L444&gt;0,N444*100/L444,0)</f>
        <v>73.632353895050912</v>
      </c>
      <c r="P444" s="195">
        <f t="shared" ref="P444:P449" ca="1" si="199">IF(M444&gt;0,N444*100/M444,0)</f>
        <v>73.632353895050912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616680</v>
      </c>
      <c r="M446" s="93">
        <f t="shared" ca="1" si="200"/>
        <v>616680</v>
      </c>
      <c r="N446" s="93">
        <f t="shared" si="200"/>
        <v>454076</v>
      </c>
      <c r="O446" s="93">
        <f t="shared" ca="1" si="198"/>
        <v>73.632353895050912</v>
      </c>
      <c r="P446" s="93">
        <f t="shared" ca="1" si="199"/>
        <v>73.632353895050912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616680</v>
      </c>
      <c r="M447" s="497">
        <f t="shared" ca="1" si="201"/>
        <v>616680</v>
      </c>
      <c r="N447" s="497">
        <f t="shared" si="201"/>
        <v>454076</v>
      </c>
      <c r="O447" s="497">
        <f t="shared" ca="1" si="198"/>
        <v>73.632353895050912</v>
      </c>
      <c r="P447" s="497">
        <f t="shared" ca="1" si="199"/>
        <v>73.632353895050912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IFERROR(__xludf.DUMMYFUNCTION("IMPORTRANGE(""https://docs.google.com/spreadsheets/d/1QqKyyYR6Q21VydFLVH3TRQUabQu_ym0Zz7PgGX0-kHA/edit?usp=sharing"",""แผน!FJ41"")"),616680)</f>
        <v>616680</v>
      </c>
      <c r="M449" s="93">
        <f ca="1">L449</f>
        <v>616680</v>
      </c>
      <c r="N449" s="93">
        <f>N450+N451+N452+N453</f>
        <v>454076</v>
      </c>
      <c r="O449" s="93">
        <f t="shared" ca="1" si="198"/>
        <v>73.632353895050912</v>
      </c>
      <c r="P449" s="93">
        <f t="shared" ca="1" si="199"/>
        <v>73.632353895050912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f>74680+10320</f>
        <v>85000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264600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64566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8380+6000+1480+1760+5490+16800</f>
        <v>39910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IFERROR(__xludf.DUMMYFUNCTION("IMPORTRANGE(""https://docs.google.com/spreadsheets/d/1QqKyyYR6Q21VydFLVH3TRQUabQu_ym0Zz7PgGX0-kHA/edit?usp=sharing"",""แผน!FN41"")"),100)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IFERROR(__xludf.DUMMYFUNCTION("IMPORTRANGE(""https://docs.google.com/spreadsheets/d/1QqKyyYR6Q21VydFLVH3TRQUabQu_ym0Zz7PgGX0-kHA/edit?usp=sharing"",""แผน!FO41"")"),280)</f>
        <v>280</v>
      </c>
      <c r="J462" s="215">
        <v>280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IFERROR(__xludf.DUMMYFUNCTION("IMPORTRANGE(""https://docs.google.com/spreadsheets/d/1QqKyyYR6Q21VydFLVH3TRQUabQu_ym0Zz7PgGX0-kHA/edit?usp=sharing"",""แผน!FO41"")"),280)</f>
        <v>280</v>
      </c>
      <c r="J463" s="215">
        <v>280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IFERROR(__xludf.DUMMYFUNCTION("IMPORTRANGE(""https://docs.google.com/spreadsheets/d/1QqKyyYR6Q21VydFLVH3TRQUabQu_ym0Zz7PgGX0-kHA/edit?usp=sharing"",""แผน!FN41"")"),100)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IFERROR(__xludf.DUMMYFUNCTION("IMPORTRANGE(""https://docs.google.com/spreadsheets/d/1QqKyyYR6Q21VydFLVH3TRQUabQu_ym0Zz7PgGX0-kHA/edit?usp=sharing"",""แผน!FX41"")"),61)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IFERROR(__xludf.DUMMYFUNCTION("IMPORTRANGE(""https://docs.google.com/spreadsheets/d/1QqKyyYR6Q21VydFLVH3TRQUabQu_ym0Zz7PgGX0-kHA/edit?usp=sharing"",""แผน!FW41"")"),600)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491703</v>
      </c>
      <c r="M467" s="195">
        <f t="shared" ca="1" si="206"/>
        <v>491703</v>
      </c>
      <c r="N467" s="195">
        <f t="shared" si="206"/>
        <v>89500</v>
      </c>
      <c r="O467" s="195">
        <f t="shared" ref="O467:O472" ca="1" si="207">IF(L467&gt;0,N467*100/L467,0)</f>
        <v>18.202044730253832</v>
      </c>
      <c r="P467" s="195">
        <f t="shared" ref="P467:P472" ca="1" si="208">IF(M467&gt;0,N467*100/M467,0)</f>
        <v>18.202044730253832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491703</v>
      </c>
      <c r="M469" s="93">
        <f t="shared" ca="1" si="209"/>
        <v>491703</v>
      </c>
      <c r="N469" s="93">
        <f t="shared" si="209"/>
        <v>89500</v>
      </c>
      <c r="O469" s="93">
        <f t="shared" ca="1" si="207"/>
        <v>18.202044730253832</v>
      </c>
      <c r="P469" s="93">
        <f t="shared" ca="1" si="208"/>
        <v>18.202044730253832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491703</v>
      </c>
      <c r="M470" s="497">
        <f t="shared" ca="1" si="210"/>
        <v>491703</v>
      </c>
      <c r="N470" s="497">
        <f t="shared" si="210"/>
        <v>89500</v>
      </c>
      <c r="O470" s="497">
        <f t="shared" ca="1" si="207"/>
        <v>18.202044730253832</v>
      </c>
      <c r="P470" s="497">
        <f t="shared" ca="1" si="208"/>
        <v>18.202044730253832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IFERROR(__xludf.DUMMYFUNCTION("IMPORTRANGE(""https://docs.google.com/spreadsheets/d/1QqKyyYR6Q21VydFLVH3TRQUabQu_ym0Zz7PgGX0-kHA/edit?usp=sharing"",""แผน!FS41"")"),491703)</f>
        <v>491703</v>
      </c>
      <c r="M472" s="93">
        <f ca="1">L472</f>
        <v>491703</v>
      </c>
      <c r="N472" s="93">
        <f>N473+N474+N475+N476</f>
        <v>89500</v>
      </c>
      <c r="O472" s="93">
        <f t="shared" ca="1" si="207"/>
        <v>18.202044730253832</v>
      </c>
      <c r="P472" s="93">
        <f t="shared" ca="1" si="208"/>
        <v>18.202044730253832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f>59850+7400</f>
        <v>67250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14180+3350+1300+2300+1120</f>
        <v>22250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IFERROR(__xludf.DUMMYFUNCTION("IMPORTRANGE(""https://docs.google.com/spreadsheets/d/1QqKyyYR6Q21VydFLVH3TRQUabQu_ym0Zz7PgGX0-kHA/edit?usp=sharing"",""แผน!FY41"")"),540)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IFERROR(__xludf.DUMMYFUNCTION("IMPORTRANGE(""https://docs.google.com/spreadsheets/d/1QqKyyYR6Q21VydFLVH3TRQUabQu_ym0Zz7PgGX0-kHA/edit?usp=sharing"",""แผน!FZ41"")"),54)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IFERROR(__xludf.DUMMYFUNCTION("IMPORTRANGE(""https://docs.google.com/spreadsheets/d/1QqKyyYR6Q21VydFLVH3TRQUabQu_ym0Zz7PgGX0-kHA/edit?usp=sharing"",""แผน!GA41"")"),60)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IFERROR(__xludf.DUMMYFUNCTION("IMPORTRANGE(""https://docs.google.com/spreadsheets/d/1QqKyyYR6Q21VydFLVH3TRQUabQu_ym0Zz7PgGX0-kHA/edit?usp=sharing"",""แผน!GB41"")"),6)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IFERROR(__xludf.DUMMYFUNCTION("IMPORTRANGE(""https://docs.google.com/spreadsheets/d/1QqKyyYR6Q21VydFLVH3TRQUabQu_ym0Zz7PgGX0-kHA/edit?usp=sharing"",""แผน!FY41"")"),540)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IFERROR(__xludf.DUMMYFUNCTION("IMPORTRANGE(""https://docs.google.com/spreadsheets/d/1QqKyyYR6Q21VydFLVH3TRQUabQu_ym0Zz7PgGX0-kHA/edit?usp=sharing"",""แผน!GA41"")"),60)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38042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326325</v>
      </c>
      <c r="M544" s="155">
        <f t="shared" ca="1" si="236"/>
        <v>326325</v>
      </c>
      <c r="N544" s="155">
        <f t="shared" si="236"/>
        <v>143145</v>
      </c>
      <c r="O544" s="155">
        <f t="shared" ref="O544:O549" ca="1" si="237">IF(L544&gt;0,N544*100/L544,0)</f>
        <v>43.865777982073084</v>
      </c>
      <c r="P544" s="155">
        <f t="shared" ref="P544:P549" ca="1" si="238">IF(M544&gt;0,N544*100/M544,0)</f>
        <v>43.865777982073084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326325</v>
      </c>
      <c r="M546" s="93">
        <f t="shared" ca="1" si="240"/>
        <v>326325</v>
      </c>
      <c r="N546" s="93">
        <f t="shared" si="240"/>
        <v>143145</v>
      </c>
      <c r="O546" s="93">
        <f t="shared" ca="1" si="237"/>
        <v>43.865777982073084</v>
      </c>
      <c r="P546" s="93">
        <f t="shared" ca="1" si="238"/>
        <v>43.865777982073084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326325</v>
      </c>
      <c r="M547" s="497">
        <f t="shared" ca="1" si="241"/>
        <v>326325</v>
      </c>
      <c r="N547" s="497">
        <f t="shared" si="241"/>
        <v>143145</v>
      </c>
      <c r="O547" s="497">
        <f t="shared" ca="1" si="237"/>
        <v>43.865777982073084</v>
      </c>
      <c r="P547" s="497">
        <f t="shared" ca="1" si="238"/>
        <v>43.865777982073084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IFERROR(__xludf.DUMMYFUNCTION("IMPORTRANGE(""https://docs.google.com/spreadsheets/d/1QqKyyYR6Q21VydFLVH3TRQUabQu_ym0Zz7PgGX0-kHA/edit?usp=sharing"",""แผน!HB41"")"),326325)</f>
        <v>326325</v>
      </c>
      <c r="M549" s="93">
        <f ca="1">L549</f>
        <v>326325</v>
      </c>
      <c r="N549" s="93">
        <f>N550+N551+N552+N553+N554</f>
        <v>143145</v>
      </c>
      <c r="O549" s="93">
        <f t="shared" ca="1" si="237"/>
        <v>43.865777982073084</v>
      </c>
      <c r="P549" s="93">
        <f t="shared" ca="1" si="238"/>
        <v>43.865777982073084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65000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14850+12000+1960+2320+5410+16705+6750+16850+1300</f>
        <v>78145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38042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IFERROR(__xludf.DUMMYFUNCTION("IMPORTRANGE(""https://docs.google.com/spreadsheets/d/1QqKyyYR6Q21VydFLVH3TRQUabQu_ym0Zz7PgGX0-kHA/edit?usp=sharing"",""แผน!HH41"")"),38042)</f>
        <v>38042</v>
      </c>
      <c r="J560" s="193">
        <f t="shared" ref="J560:J561" si="247">J562+J564+J566</f>
        <v>38042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IFERROR(__xludf.DUMMYFUNCTION("IMPORTRANGE(""https://docs.google.com/spreadsheets/d/1QqKyyYR6Q21VydFLVH3TRQUabQu_ym0Zz7PgGX0-kHA/edit?usp=sharing"",""แผน!HG41"")"),3787)</f>
        <v>3787</v>
      </c>
      <c r="J561" s="193">
        <f t="shared" si="247"/>
        <v>3787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32410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3190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4743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522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889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IFERROR(__xludf.DUMMYFUNCTION("IMPORTRANGE(""https://docs.google.com/spreadsheets/d/1QqKyyYR6Q21VydFLVH3TRQUabQu_ym0Zz7PgGX0-kHA/edit?usp=sharing"",""แผน!HH41"")"),38042)</f>
        <v>38042</v>
      </c>
      <c r="J568" s="679">
        <f t="shared" ref="J568:J569" si="248">J570+J572+J574</f>
        <v>38043</v>
      </c>
      <c r="K568" s="411">
        <f t="shared" ref="K568:K569" ca="1" si="249">IF(I568&gt;0,J568*100/I568,0)</f>
        <v>100.00262867357132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IFERROR(__xludf.DUMMYFUNCTION("IMPORTRANGE(""https://docs.google.com/spreadsheets/d/1QqKyyYR6Q21VydFLVH3TRQUabQu_ym0Zz7PgGX0-kHA/edit?usp=sharing"",""แผน!HG41"")"),3787)</f>
        <v>3787</v>
      </c>
      <c r="J569" s="679">
        <f t="shared" si="248"/>
        <v>3787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34701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3485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2383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220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959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IFERROR(__xludf.DUMMYFUNCTION("IMPORTRANGE(""https://docs.google.com/spreadsheets/d/1QqKyyYR6Q21VydFLVH3TRQUabQu_ym0Zz7PgGX0-kHA/edit?usp=sharing"",""แผน!HH41"")"),38042)</f>
        <v>38042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IFERROR(__xludf.DUMMYFUNCTION("IMPORTRANGE(""https://docs.google.com/spreadsheets/d/1QqKyyYR6Q21VydFLVH3TRQUabQu_ym0Zz7PgGX0-kHA/edit?usp=sharing"",""แผน!HG41"")"),3787)</f>
        <v>3787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391.38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IFERROR(__xludf.DUMMYFUNCTION("IMPORTRANGE(""https://docs.google.com/spreadsheets/d/1QqKyyYR6Q21VydFLVH3TRQUabQu_ym0Zz7PgGX0-kHA/edit?usp=sharing"",""แผน!HJ41"")"),391.38)</f>
        <v>391.38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IFERROR(__xludf.DUMMYFUNCTION("IMPORTRANGE(""https://docs.google.com/spreadsheets/d/1QqKyyYR6Q21VydFLVH3TRQUabQu_ym0Zz7PgGX0-kHA/edit?usp=sharing"",""แผน!HI41"")"),28)</f>
        <v>28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IFERROR(__xludf.DUMMYFUNCTION("IMPORTRANGE(""https://docs.google.com/spreadsheets/d/1QqKyyYR6Q21VydFLVH3TRQUabQu_ym0Zz7PgGX0-kHA/edit?usp=sharing"",""แผน!HL41"")"),0)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IFERROR(__xludf.DUMMYFUNCTION("IMPORTRANGE(""https://docs.google.com/spreadsheets/d/1QqKyyYR6Q21VydFLVH3TRQUabQu_ym0Zz7PgGX0-kHA/edit?usp=sharing"",""แผน!HK41"")"),0)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205</v>
      </c>
      <c r="J628" s="739">
        <f t="shared" ca="1" si="262"/>
        <v>106</v>
      </c>
      <c r="K628" s="740">
        <f ca="1">IF(I628&gt;0,J628*100/I628,0)</f>
        <v>51.707317073170735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419495</v>
      </c>
      <c r="M629" s="195">
        <f t="shared" ca="1" si="263"/>
        <v>419495</v>
      </c>
      <c r="N629" s="195">
        <f t="shared" si="263"/>
        <v>223273</v>
      </c>
      <c r="O629" s="195">
        <f t="shared" ref="O629:O634" ca="1" si="264">IF(L629&gt;0,N629*100/L629,0)</f>
        <v>53.224233900284865</v>
      </c>
      <c r="P629" s="195">
        <f t="shared" ref="P629:P634" ca="1" si="265">IF(M629&gt;0,N629*100/M629,0)</f>
        <v>53.224233900284865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419495</v>
      </c>
      <c r="M631" s="93">
        <f t="shared" ca="1" si="266"/>
        <v>419495</v>
      </c>
      <c r="N631" s="93">
        <f t="shared" si="266"/>
        <v>223273</v>
      </c>
      <c r="O631" s="93">
        <f t="shared" ca="1" si="264"/>
        <v>53.224233900284865</v>
      </c>
      <c r="P631" s="93">
        <f t="shared" ca="1" si="265"/>
        <v>53.224233900284865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419495</v>
      </c>
      <c r="M632" s="497">
        <f t="shared" ca="1" si="267"/>
        <v>419495</v>
      </c>
      <c r="N632" s="497">
        <f t="shared" si="267"/>
        <v>223273</v>
      </c>
      <c r="O632" s="497">
        <f t="shared" ca="1" si="264"/>
        <v>53.224233900284865</v>
      </c>
      <c r="P632" s="497">
        <f t="shared" ca="1" si="265"/>
        <v>53.224233900284865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IFERROR(__xludf.DUMMYFUNCTION("IMPORTRANGE(""https://docs.google.com/spreadsheets/d/1QqKyyYR6Q21VydFLVH3TRQUabQu_ym0Zz7PgGX0-kHA/edit?usp=sharing"",""แผน!HN41"")"),419495)</f>
        <v>419495</v>
      </c>
      <c r="M634" s="93">
        <f ca="1">L634</f>
        <v>419495</v>
      </c>
      <c r="N634" s="93">
        <f>N635+N636+N637+N638</f>
        <v>223273</v>
      </c>
      <c r="O634" s="93">
        <f t="shared" ca="1" si="264"/>
        <v>53.224233900284865</v>
      </c>
      <c r="P634" s="93">
        <f t="shared" ca="1" si="265"/>
        <v>53.224233900284865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63700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9400+18000+11160+14938+14540+16200+26420+37525+11390</f>
        <v>159573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IFERROR(__xludf.DUMMYFUNCTION("IMPORTRANGE(""https://docs.google.com/spreadsheets/d/1XWAQStnk-4SwqDmLtmXYiTMKHgktTP8We1SCoS47DrQ/edit?usp=sharing"",""จัดที่ดิน!AS41"")"),104)</f>
        <v>104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IFERROR(__xludf.DUMMYFUNCTION("IMPORTRANGE(""https://docs.google.com/spreadsheets/d/1XWAQStnk-4SwqDmLtmXYiTMKHgktTP8We1SCoS47DrQ/edit?usp=sharing"",""จัดที่ดิน!AT41"")"),58.12)</f>
        <v>58.12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IFERROR(__xludf.DUMMYFUNCTION("IMPORTRANGE(""https://docs.google.com/spreadsheets/d/1QqKyyYR6Q21VydFLVH3TRQUabQu_ym0Zz7PgGX0-kHA/edit?usp=sharing"",""แผน!HS41"")"),205)</f>
        <v>205</v>
      </c>
      <c r="J647" s="270">
        <f ca="1">IFERROR(__xludf.DUMMYFUNCTION("IMPORTRANGE(""https://docs.google.com/spreadsheets/d/1XWAQStnk-4SwqDmLtmXYiTMKHgktTP8We1SCoS47DrQ/edit?usp=sharing"",""จัดที่ดิน!AU41"")"),103)</f>
        <v>103</v>
      </c>
      <c r="K647" s="163">
        <f t="shared" ca="1" si="271"/>
        <v>50.243902439024389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IFERROR(__xludf.DUMMYFUNCTION("IMPORTRANGE(""https://docs.google.com/spreadsheets/d/1XWAQStnk-4SwqDmLtmXYiTMKHgktTP8We1SCoS47DrQ/edit?usp=sharing"",""จัดที่ดิน!AV41"")"),49.88)</f>
        <v>49.88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IFERROR(__xludf.DUMMYFUNCTION("IMPORTRANGE(""https://docs.google.com/spreadsheets/d/1QqKyyYR6Q21VydFLVH3TRQUabQu_ym0Zz7PgGX0-kHA/edit?usp=sharing"",""แผน!HS41"")"),205)</f>
        <v>205</v>
      </c>
      <c r="J649" s="270">
        <f ca="1">IFERROR(__xludf.DUMMYFUNCTION("IMPORTRANGE(""https://docs.google.com/spreadsheets/d/1XWAQStnk-4SwqDmLtmXYiTMKHgktTP8We1SCoS47DrQ/edit?usp=sharing"",""จัดที่ดิน!AW41"")"),109)</f>
        <v>109</v>
      </c>
      <c r="K649" s="163">
        <f t="shared" ca="1" si="271"/>
        <v>53.170731707317074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IFERROR(__xludf.DUMMYFUNCTION("IMPORTRANGE(""https://docs.google.com/spreadsheets/d/1XWAQStnk-4SwqDmLtmXYiTMKHgktTP8We1SCoS47DrQ/edit?usp=sharing"",""จัดที่ดิน!AX41"")"),51.91)</f>
        <v>51.91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IFERROR(__xludf.DUMMYFUNCTION("IMPORTRANGE(""https://docs.google.com/spreadsheets/d/1QqKyyYR6Q21VydFLVH3TRQUabQu_ym0Zz7PgGX0-kHA/edit?usp=sharing"",""แผน!HS41"")"),205)</f>
        <v>205</v>
      </c>
      <c r="J651" s="270">
        <f ca="1">IFERROR(__xludf.DUMMYFUNCTION("IMPORTRANGE(""https://docs.google.com/spreadsheets/d/1XWAQStnk-4SwqDmLtmXYiTMKHgktTP8We1SCoS47DrQ/edit?usp=sharing"",""จัดที่ดิน!AY41"")"),106)</f>
        <v>106</v>
      </c>
      <c r="K651" s="163">
        <f t="shared" ca="1" si="271"/>
        <v>51.707317073170735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IFERROR(__xludf.DUMMYFUNCTION("IMPORTRANGE(""https://docs.google.com/spreadsheets/d/1XWAQStnk-4SwqDmLtmXYiTMKHgktTP8We1SCoS47DrQ/edit?usp=sharing"",""จัดที่ดิน!AZ41"")"),41.86)</f>
        <v>41.86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IFERROR(__xludf.DUMMYFUNCTION("IMPORTRANGE(""https://docs.google.com/spreadsheets/d/1QqKyyYR6Q21VydFLVH3TRQUabQu_ym0Zz7PgGX0-kHA/edit?usp=sharing"",""แผน!IA41"")"),0)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IFERROR(__xludf.DUMMYFUNCTION("IMPORTRANGE(""https://docs.google.com/spreadsheets/d/1QqKyyYR6Q21VydFLVH3TRQUabQu_ym0Zz7PgGX0-kHA/edit?usp=sharing"",""แผน!HW41"")"),0)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IFERROR(__xludf.DUMMYFUNCTION("IMPORTRANGE(""https://docs.google.com/spreadsheets/d/1QqKyyYR6Q21VydFLVH3TRQUabQu_ym0Zz7PgGX0-kHA/edit?usp=sharing"",""แผน!IC41"")"),0)</f>
        <v>0</v>
      </c>
      <c r="J699" s="270">
        <f ca="1">IFERROR(__xludf.DUMMYFUNCTION("IMPORTRANGE(""https://docs.google.com/spreadsheets/d/1XWAQStnk-4SwqDmLtmXYiTMKHgktTP8We1SCoS47DrQ/edit?usp=sharing"",""จัดที่ดิน!BB41"")"),0)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IFERROR(__xludf.DUMMYFUNCTION("IMPORTRANGE(""https://docs.google.com/spreadsheets/d/1QqKyyYR6Q21VydFLVH3TRQUabQu_ym0Zz7PgGX0-kHA/edit?usp=sharing"",""แผน!ID41"")"),0)</f>
        <v>0</v>
      </c>
      <c r="J700" s="270">
        <f ca="1">IFERROR(__xludf.DUMMYFUNCTION("IMPORTRANGE(""https://docs.google.com/spreadsheets/d/1XWAQStnk-4SwqDmLtmXYiTMKHgktTP8We1SCoS47DrQ/edit?usp=sharing"",""จัดที่ดิน!BD41"")"),0)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IFERROR(__xludf.DUMMYFUNCTION("IMPORTRANGE(""https://docs.google.com/spreadsheets/d/1QqKyyYR6Q21VydFLVH3TRQUabQu_ym0Zz7PgGX0-kHA/edit?usp=sharing"",""แผน!II41"")"),0)</f>
        <v>0</v>
      </c>
      <c r="J720" s="270">
        <f ca="1">IFERROR(__xludf.DUMMYFUNCTION("IMPORTRANGE(""https://docs.google.com/spreadsheets/d/1XWAQStnk-4SwqDmLtmXYiTMKHgktTP8We1SCoS47DrQ/edit?usp=sharing"",""จัดที่ดิน!BH41"")"),0)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IFERROR(__xludf.DUMMYFUNCTION("IMPORTRANGE(""https://docs.google.com/spreadsheets/d/1QqKyyYR6Q21VydFLVH3TRQUabQu_ym0Zz7PgGX0-kHA/edit?usp=sharing"",""แผน!IL41"")"),0)</f>
        <v>0</v>
      </c>
      <c r="J723" s="270">
        <f ca="1">IFERROR(__xludf.DUMMYFUNCTION("IMPORTRANGE(""https://docs.google.com/spreadsheets/d/1XWAQStnk-4SwqDmLtmXYiTMKHgktTP8We1SCoS47DrQ/edit?usp=sharing"",""จัดที่ดิน!BM41"")"),0)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IFERROR(__xludf.DUMMYFUNCTION("IMPORTRANGE(""https://docs.google.com/spreadsheets/d/1QqKyyYR6Q21VydFLVH3TRQUabQu_ym0Zz7PgGX0-kHA/edit?usp=sharing"",""แผน!IM41"")"),0)</f>
        <v>0</v>
      </c>
      <c r="J725" s="270">
        <f ca="1">IFERROR(__xludf.DUMMYFUNCTION("IMPORTRANGE(""https://docs.google.com/spreadsheets/d/1XWAQStnk-4SwqDmLtmXYiTMKHgktTP8We1SCoS47DrQ/edit?usp=sharing"",""จัดที่ดิน!BO41"")"),0)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IFERROR(__xludf.DUMMYFUNCTION("IMPORTRANGE(""https://docs.google.com/spreadsheets/d/1QqKyyYR6Q21VydFLVH3TRQUabQu_ym0Zz7PgGX0-kHA/edit?usp=sharing"",""แผน!IN41"")"),0)</f>
        <v>0</v>
      </c>
      <c r="J726" s="270">
        <f ca="1">IFERROR(__xludf.DUMMYFUNCTION("IMPORTRANGE(""https://docs.google.com/spreadsheets/d/1XWAQStnk-4SwqDmLtmXYiTMKHgktTP8We1SCoS47DrQ/edit?usp=sharing"",""จัดที่ดิน!BR41"")"),0)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IFERROR(__xludf.DUMMYFUNCTION("IMPORTRANGE(""https://docs.google.com/spreadsheets/d/1QqKyyYR6Q21VydFLVH3TRQUabQu_ym0Zz7PgGX0-kHA/edit?usp=sharing"",""แผน!IO41"")"),0)</f>
        <v>0</v>
      </c>
      <c r="J728" s="270">
        <f ca="1">IFERROR(__xludf.DUMMYFUNCTION("IMPORTRANGE(""https://docs.google.com/spreadsheets/d/1XWAQStnk-4SwqDmLtmXYiTMKHgktTP8We1SCoS47DrQ/edit?usp=sharing"",""จัดที่ดิน!BT41"")"),0)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IFERROR(__xludf.DUMMYFUNCTION("IMPORTRANGE(""https://docs.google.com/spreadsheets/d/1QqKyyYR6Q21VydFLVH3TRQUabQu_ym0Zz7PgGX0-kHA/edit?usp=sharing"",""แผน!JN41"")"),0)</f>
        <v>0</v>
      </c>
      <c r="J800" s="184">
        <f ca="1">IFERROR(__xludf.DUMMYFUNCTION("IMPORTRANGE(""https://docs.google.com/spreadsheets/d/1MaWodYyGHDf7siQLGxnXhG4mBNTNIuy296niS2xXulU/edit?usp=sharing"",""RTK!H41"")"),0)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IFERROR(__xludf.DUMMYFUNCTION("IMPORTRANGE(""https://docs.google.com/spreadsheets/d/1MaWodYyGHDf7siQLGxnXhG4mBNTNIuy296niS2xXulU/edit?usp=sharing"",""RTK!I41"")"),0)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270">
        <f ca="1">IFERROR(__xludf.DUMMYFUNCTION("IMPORTRANGE(""https://docs.google.com/spreadsheets/d/19vJNZY_5yjcGF2XGBMNZRCAIB0Kwfpjp8YEOfu-bneM/edit?usp=sharing"",""งานกองทุน!F41"")"),3726953.18)</f>
        <v>3726953.18</v>
      </c>
      <c r="K821" s="497">
        <f t="shared" ref="K821:K828" ca="1" si="335">IF(I821&gt;0,J821*100/I821,0)</f>
        <v>53.069602828952078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IFERROR(__xludf.DUMMYFUNCTION("IMPORTRANGE(""https://docs.google.com/spreadsheets/d/19vJNZY_5yjcGF2XGBMNZRCAIB0Kwfpjp8YEOfu-bneM/edit?usp=sharing"",""งานกองทุน!C41"")"),650)</f>
        <v>650</v>
      </c>
      <c r="J822" s="270">
        <f ca="1">IFERROR(__xludf.DUMMYFUNCTION("IMPORTRANGE(""https://docs.google.com/spreadsheets/d/19vJNZY_5yjcGF2XGBMNZRCAIB0Kwfpjp8YEOfu-bneM/edit?usp=sharing"",""งานกองทุน!E41"")"),344)</f>
        <v>344</v>
      </c>
      <c r="K822" s="497">
        <f t="shared" ca="1" si="335"/>
        <v>52.92307692307692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270">
        <f ca="1">IFERROR(__xludf.DUMMYFUNCTION("IMPORTRANGE(""https://docs.google.com/spreadsheets/d/19vJNZY_5yjcGF2XGBMNZRCAIB0Kwfpjp8YEOfu-bneM/edit?usp=sharing"",""งานกองทุน!K41"")"),638569.21)</f>
        <v>638569.21</v>
      </c>
      <c r="K823" s="497">
        <f t="shared" ca="1" si="335"/>
        <v>14.867012745318121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IFERROR(__xludf.DUMMYFUNCTION("IMPORTRANGE(""https://docs.google.com/spreadsheets/d/19vJNZY_5yjcGF2XGBMNZRCAIB0Kwfpjp8YEOfu-bneM/edit?usp=sharing"",""งานกองทุน!H41"")"),251)</f>
        <v>251</v>
      </c>
      <c r="J824" s="270">
        <f ca="1">IFERROR(__xludf.DUMMYFUNCTION("IMPORTRANGE(""https://docs.google.com/spreadsheets/d/19vJNZY_5yjcGF2XGBMNZRCAIB0Kwfpjp8YEOfu-bneM/edit?usp=sharing"",""งานกองทุน!J41"")"),80)</f>
        <v>80</v>
      </c>
      <c r="K824" s="497">
        <f t="shared" ca="1" si="335"/>
        <v>31.872509960159363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IFERROR(__xludf.DUMMYFUNCTION("IMPORTRANGE(""https://docs.google.com/spreadsheets/d/19vJNZY_5yjcGF2XGBMNZRCAIB0Kwfpjp8YEOfu-bneM/edit?usp=sharing"",""งานกองทุน!N41"")"),0)</f>
        <v>0</v>
      </c>
      <c r="J825" s="270">
        <f ca="1">IFERROR(__xludf.DUMMYFUNCTION("IMPORTRANGE(""https://docs.google.com/spreadsheets/d/19vJNZY_5yjcGF2XGBMNZRCAIB0Kwfpjp8YEOfu-bneM/edit?usp=sharing"",""งานกองทุน!P41"")"),38390.16)</f>
        <v>38390.160000000003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IFERROR(__xludf.DUMMYFUNCTION("IMPORTRANGE(""https://docs.google.com/spreadsheets/d/19vJNZY_5yjcGF2XGBMNZRCAIB0Kwfpjp8YEOfu-bneM/edit?usp=sharing"",""งานกองทุน!M41"")"),0)</f>
        <v>0</v>
      </c>
      <c r="J826" s="270">
        <f ca="1">IFERROR(__xludf.DUMMYFUNCTION("IMPORTRANGE(""https://docs.google.com/spreadsheets/d/19vJNZY_5yjcGF2XGBMNZRCAIB0Kwfpjp8YEOfu-bneM/edit?usp=sharing"",""งานกองทุน!O41"")"),1)</f>
        <v>1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IFERROR(__xludf.DUMMYFUNCTION("IMPORTRANGE(""https://docs.google.com/spreadsheets/d/19vJNZY_5yjcGF2XGBMNZRCAIB0Kwfpjp8YEOfu-bneM/edit?usp=sharing"",""งานกองทุน!S41"")"),8000000)</f>
        <v>8000000</v>
      </c>
      <c r="J827" s="270">
        <f ca="1">IFERROR(__xludf.DUMMYFUNCTION("IMPORTRANGE(""https://docs.google.com/spreadsheets/d/19vJNZY_5yjcGF2XGBMNZRCAIB0Kwfpjp8YEOfu-bneM/edit?usp=sharing"",""งานกองทุน!U41"")"),3765000)</f>
        <v>3765000</v>
      </c>
      <c r="K827" s="497">
        <f t="shared" ca="1" si="335"/>
        <v>47.0625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IFERROR(__xludf.DUMMYFUNCTION("IMPORTRANGE(""https://docs.google.com/spreadsheets/d/19vJNZY_5yjcGF2XGBMNZRCAIB0Kwfpjp8YEOfu-bneM/edit?usp=sharing"",""งานกองทุน!R41"")"),258)</f>
        <v>258</v>
      </c>
      <c r="J828" s="504">
        <f ca="1">IFERROR(__xludf.DUMMYFUNCTION("IMPORTRANGE(""https://docs.google.com/spreadsheets/d/19vJNZY_5yjcGF2XGBMNZRCAIB0Kwfpjp8YEOfu-bneM/edit?usp=sharing"",""งานกองทุน!T41"")"),100)</f>
        <v>100</v>
      </c>
      <c r="K828" s="505">
        <f t="shared" ca="1" si="335"/>
        <v>38.759689922480618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D391B-C0A0-4F49-928E-A24AEA232C6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7.85546875" bestFit="1" customWidth="1"/>
    <col min="10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7562279</v>
      </c>
      <c r="M8" s="22">
        <f t="shared" ca="1" si="0"/>
        <v>6862124</v>
      </c>
      <c r="N8" s="22">
        <f t="shared" ca="1" si="0"/>
        <v>4956056.3999999994</v>
      </c>
      <c r="O8" s="22">
        <f t="shared" ref="O8:O16" ca="1" si="1">IF(L8&gt;0,N8*100/L8,0)</f>
        <v>65.536545266314548</v>
      </c>
      <c r="P8" s="22">
        <f t="shared" ref="P8:P16" ca="1" si="2">IF(M8&gt;0,N8*100/M8,0)</f>
        <v>72.223358248845386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7562279</v>
      </c>
      <c r="M10" s="30">
        <f t="shared" ca="1" si="3"/>
        <v>6862124</v>
      </c>
      <c r="N10" s="30">
        <f t="shared" ca="1" si="3"/>
        <v>4956056.3999999994</v>
      </c>
      <c r="O10" s="30">
        <f t="shared" ca="1" si="1"/>
        <v>65.536545266314548</v>
      </c>
      <c r="P10" s="30">
        <f t="shared" ca="1" si="2"/>
        <v>72.223358248845386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7237579</v>
      </c>
      <c r="M11" s="497">
        <f t="shared" ca="1" si="4"/>
        <v>6537424</v>
      </c>
      <c r="N11" s="497">
        <f t="shared" ca="1" si="4"/>
        <v>4631356.3999999994</v>
      </c>
      <c r="O11" s="497">
        <f t="shared" ca="1" si="1"/>
        <v>63.990408947522361</v>
      </c>
      <c r="P11" s="497">
        <f t="shared" ca="1" si="2"/>
        <v>70.843751300206307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7237579</v>
      </c>
      <c r="M13" s="93">
        <f t="shared" ca="1" si="5"/>
        <v>6537424</v>
      </c>
      <c r="N13" s="93">
        <f t="shared" ca="1" si="5"/>
        <v>4631356.3999999994</v>
      </c>
      <c r="O13" s="93">
        <f t="shared" ca="1" si="1"/>
        <v>63.990408947522361</v>
      </c>
      <c r="P13" s="93">
        <f t="shared" ca="1" si="2"/>
        <v>70.843751300206307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324700</v>
      </c>
      <c r="M14" s="497">
        <f t="shared" ca="1" si="6"/>
        <v>324700</v>
      </c>
      <c r="N14" s="497">
        <f t="shared" ca="1" si="6"/>
        <v>324700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324700</v>
      </c>
      <c r="M16" s="52">
        <f t="shared" ca="1" si="7"/>
        <v>324700</v>
      </c>
      <c r="N16" s="52">
        <f t="shared" ca="1" si="7"/>
        <v>324700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5055232</v>
      </c>
      <c r="M18" s="22">
        <f t="shared" ca="1" si="8"/>
        <v>4355077</v>
      </c>
      <c r="N18" s="22">
        <f t="shared" ca="1" si="8"/>
        <v>3578457.8899999997</v>
      </c>
      <c r="O18" s="22">
        <f t="shared" ref="O18:O26" ca="1" si="9">IF(L18&gt;0,N18*100/L18,0)</f>
        <v>70.787213920152411</v>
      </c>
      <c r="P18" s="22">
        <f t="shared" ref="P18:P26" ca="1" si="10">IF(M18&gt;0,N18*100/M18,0)</f>
        <v>82.167499908727208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5055232</v>
      </c>
      <c r="M20" s="30">
        <f t="shared" ca="1" si="11"/>
        <v>4355077</v>
      </c>
      <c r="N20" s="30">
        <f t="shared" ca="1" si="11"/>
        <v>3578457.8899999997</v>
      </c>
      <c r="O20" s="30">
        <f t="shared" ca="1" si="9"/>
        <v>70.787213920152411</v>
      </c>
      <c r="P20" s="30">
        <f t="shared" ca="1" si="10"/>
        <v>82.167499908727208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4730532</v>
      </c>
      <c r="M21" s="497">
        <f t="shared" ca="1" si="12"/>
        <v>4030377</v>
      </c>
      <c r="N21" s="497">
        <f t="shared" ca="1" si="12"/>
        <v>3253757.8899999997</v>
      </c>
      <c r="O21" s="497">
        <f t="shared" ca="1" si="9"/>
        <v>68.782071234271314</v>
      </c>
      <c r="P21" s="497">
        <f t="shared" ca="1" si="10"/>
        <v>80.730856939685779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4730532</v>
      </c>
      <c r="M23" s="93">
        <f t="shared" ca="1" si="13"/>
        <v>4030377</v>
      </c>
      <c r="N23" s="93">
        <f t="shared" ca="1" si="13"/>
        <v>3253757.8899999997</v>
      </c>
      <c r="O23" s="93">
        <f t="shared" ca="1" si="9"/>
        <v>68.782071234271314</v>
      </c>
      <c r="P23" s="93">
        <f t="shared" ca="1" si="10"/>
        <v>80.730856939685779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324700</v>
      </c>
      <c r="M24" s="497">
        <f t="shared" ca="1" si="14"/>
        <v>324700</v>
      </c>
      <c r="N24" s="497">
        <f t="shared" ca="1" si="14"/>
        <v>324700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324700</v>
      </c>
      <c r="M26" s="52">
        <f t="shared" ca="1" si="15"/>
        <v>324700</v>
      </c>
      <c r="N26" s="52">
        <f t="shared" ca="1" si="15"/>
        <v>324700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2507047</v>
      </c>
      <c r="M28" s="22">
        <f t="shared" ca="1" si="16"/>
        <v>2507047</v>
      </c>
      <c r="N28" s="22">
        <f t="shared" si="16"/>
        <v>1377598.51</v>
      </c>
      <c r="O28" s="22">
        <f t="shared" ref="O28:O37" ca="1" si="17">IF(L28&gt;0,N28*100/L28,0)</f>
        <v>54.949050017809796</v>
      </c>
      <c r="P28" s="22">
        <f t="shared" ref="P28:P37" ca="1" si="18">IF(M28&gt;0,N28*100/M28,0)</f>
        <v>54.949050017809796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2507047</v>
      </c>
      <c r="M30" s="30">
        <f t="shared" ca="1" si="19"/>
        <v>2507047</v>
      </c>
      <c r="N30" s="30">
        <f t="shared" si="19"/>
        <v>1377598.51</v>
      </c>
      <c r="O30" s="30">
        <f t="shared" ca="1" si="17"/>
        <v>54.949050017809796</v>
      </c>
      <c r="P30" s="30">
        <f t="shared" ca="1" si="18"/>
        <v>54.949050017809796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2507047</v>
      </c>
      <c r="M31" s="497">
        <f t="shared" ca="1" si="20"/>
        <v>2507047</v>
      </c>
      <c r="N31" s="497">
        <f t="shared" si="20"/>
        <v>1377598.51</v>
      </c>
      <c r="O31" s="497">
        <f t="shared" ca="1" si="17"/>
        <v>54.949050017809796</v>
      </c>
      <c r="P31" s="497">
        <f t="shared" ca="1" si="18"/>
        <v>54.949050017809796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2507047</v>
      </c>
      <c r="M33" s="93">
        <f t="shared" ca="1" si="21"/>
        <v>2507047</v>
      </c>
      <c r="N33" s="93">
        <f t="shared" si="21"/>
        <v>1377598.51</v>
      </c>
      <c r="O33" s="93">
        <f t="shared" ca="1" si="17"/>
        <v>54.949050017809796</v>
      </c>
      <c r="P33" s="93">
        <f t="shared" ca="1" si="18"/>
        <v>54.949050017809796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5055232</v>
      </c>
      <c r="M37" s="870">
        <f t="shared" ca="1" si="24"/>
        <v>4355077</v>
      </c>
      <c r="N37" s="870">
        <f t="shared" ca="1" si="24"/>
        <v>3578457.8899999997</v>
      </c>
      <c r="O37" s="870">
        <f t="shared" ca="1" si="17"/>
        <v>70.787213920152411</v>
      </c>
      <c r="P37" s="870">
        <f t="shared" ca="1" si="18"/>
        <v>82.167499908727208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930492</v>
      </c>
      <c r="M41" s="85">
        <f t="shared" ca="1" si="25"/>
        <v>950742</v>
      </c>
      <c r="N41" s="85">
        <f t="shared" ca="1" si="25"/>
        <v>587733</v>
      </c>
      <c r="O41" s="85">
        <f t="shared" ref="O41:O49" ca="1" si="26">IF(L41&gt;0,N41*100/L41,0)</f>
        <v>63.163681149327452</v>
      </c>
      <c r="P41" s="85">
        <f t="shared" ref="P41:P49" ca="1" si="27">IF(M41&gt;0,N41*100/M41,0)</f>
        <v>61.818348195409477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930492</v>
      </c>
      <c r="M43" s="92">
        <f t="shared" ca="1" si="28"/>
        <v>950742</v>
      </c>
      <c r="N43" s="92">
        <f t="shared" ca="1" si="28"/>
        <v>587733</v>
      </c>
      <c r="O43" s="92">
        <f t="shared" ca="1" si="26"/>
        <v>63.163681149327452</v>
      </c>
      <c r="P43" s="92">
        <f t="shared" ca="1" si="27"/>
        <v>61.818348195409477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930492</v>
      </c>
      <c r="M44" s="497">
        <f t="shared" ca="1" si="29"/>
        <v>950742</v>
      </c>
      <c r="N44" s="497">
        <f t="shared" ca="1" si="29"/>
        <v>587733</v>
      </c>
      <c r="O44" s="497">
        <f t="shared" ca="1" si="26"/>
        <v>63.163681149327452</v>
      </c>
      <c r="P44" s="497">
        <f t="shared" ca="1" si="27"/>
        <v>61.818348195409477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IFERROR(__xludf.DUMMYFUNCTION("IMPORTRANGE(""https://docs.google.com/spreadsheets/d/1MeEWN-I1oV_STSDYn1IFDPWt_1FKiwhDph83XaGc0o0/edit?usp=sharing"",""งบพรบ!M42"")"),930492)</f>
        <v>930492</v>
      </c>
      <c r="M46" s="93">
        <f ca="1">IFERROR(__xludf.DUMMYFUNCTION("IMPORTRANGE(""https://docs.google.com/spreadsheets/d/1MeEWN-I1oV_STSDYn1IFDPWt_1FKiwhDph83XaGc0o0/edit?usp=sharing"",""งบพรบ!R42"")"),950742)</f>
        <v>950742</v>
      </c>
      <c r="N46" s="93">
        <f ca="1">IFERROR(__xludf.DUMMYFUNCTION("IMPORTRANGE(""https://docs.google.com/spreadsheets/d/1MeEWN-I1oV_STSDYn1IFDPWt_1FKiwhDph83XaGc0o0/edit?usp=sharing"",""งบพรบ!T42"")"),587733)</f>
        <v>587733</v>
      </c>
      <c r="O46" s="93">
        <f t="shared" ca="1" si="26"/>
        <v>63.163681149327452</v>
      </c>
      <c r="P46" s="93">
        <f t="shared" ca="1" si="27"/>
        <v>61.818348195409477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IFERROR(__xludf.DUMMYFUNCTION("IMPORTRANGE(""https://docs.google.com/spreadsheets/d/1MeEWN-I1oV_STSDYn1IFDPWt_1FKiwhDph83XaGc0o0/edit?usp=sharing"",""งบพรบ!P42"")"),0)</f>
        <v>0</v>
      </c>
      <c r="M49" s="52">
        <f ca="1">IFERROR(__xludf.DUMMYFUNCTION("IMPORTRANGE(""https://docs.google.com/spreadsheets/d/1MeEWN-I1oV_STSDYn1IFDPWt_1FKiwhDph83XaGc0o0/edit?usp=sharing"",""งบพรบ!S42"")"),0)</f>
        <v>0</v>
      </c>
      <c r="N49" s="52">
        <f ca="1">IFERROR(__xludf.DUMMYFUNCTION("IMPORTRANGE(""https://docs.google.com/spreadsheets/d/1MeEWN-I1oV_STSDYn1IFDPWt_1FKiwhDph83XaGc0o0/edit?usp=sharing"",""งบพรบ!U42"")"),0)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1012100</v>
      </c>
      <c r="M53" s="116">
        <f t="shared" ca="1" si="31"/>
        <v>842495</v>
      </c>
      <c r="N53" s="116">
        <f t="shared" ca="1" si="31"/>
        <v>772108.82</v>
      </c>
      <c r="O53" s="116">
        <f t="shared" ref="O53:O61" ca="1" si="32">IF(L53&gt;0,N53*100/L53,0)</f>
        <v>76.287799624543027</v>
      </c>
      <c r="P53" s="116">
        <f t="shared" ref="P53:P61" ca="1" si="33">IF(M53&gt;0,N53*100/M53,0)</f>
        <v>91.645507688472932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1012100</v>
      </c>
      <c r="M55" s="123">
        <f t="shared" ca="1" si="34"/>
        <v>842495</v>
      </c>
      <c r="N55" s="123">
        <f t="shared" ca="1" si="34"/>
        <v>772108.82</v>
      </c>
      <c r="O55" s="123">
        <f t="shared" ca="1" si="32"/>
        <v>76.287799624543027</v>
      </c>
      <c r="P55" s="123">
        <f t="shared" ca="1" si="33"/>
        <v>91.645507688472932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904900</v>
      </c>
      <c r="M56" s="497">
        <f t="shared" ca="1" si="35"/>
        <v>735295</v>
      </c>
      <c r="N56" s="497">
        <f t="shared" ca="1" si="35"/>
        <v>664908.81999999995</v>
      </c>
      <c r="O56" s="497">
        <f t="shared" ca="1" si="32"/>
        <v>73.478707039451862</v>
      </c>
      <c r="P56" s="497">
        <f t="shared" ca="1" si="33"/>
        <v>90.427491007010786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IFERROR(__xludf.DUMMYFUNCTION("IMPORTRANGE(""https://docs.google.com/spreadsheets/d/1MeEWN-I1oV_STSDYn1IFDPWt_1FKiwhDph83XaGc0o0/edit?usp=sharing"",""งบพรบ!W42"")"),904900)</f>
        <v>904900</v>
      </c>
      <c r="M58" s="93">
        <f ca="1">IFERROR(__xludf.DUMMYFUNCTION("IMPORTRANGE(""https://docs.google.com/spreadsheets/d/1MeEWN-I1oV_STSDYn1IFDPWt_1FKiwhDph83XaGc0o0/edit?usp=sharing"",""งบพรบ!AB42"")"),735295)</f>
        <v>735295</v>
      </c>
      <c r="N58" s="93">
        <f ca="1">IFERROR(__xludf.DUMMYFUNCTION("IMPORTRANGE(""https://docs.google.com/spreadsheets/d/1MeEWN-I1oV_STSDYn1IFDPWt_1FKiwhDph83XaGc0o0/edit?usp=sharing"",""งบพรบ!AD42"")"),664908.82)</f>
        <v>664908.81999999995</v>
      </c>
      <c r="O58" s="93">
        <f t="shared" ca="1" si="32"/>
        <v>73.478707039451862</v>
      </c>
      <c r="P58" s="93">
        <f t="shared" ca="1" si="33"/>
        <v>90.427491007010786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107200</v>
      </c>
      <c r="M59" s="497">
        <f t="shared" ca="1" si="36"/>
        <v>107200</v>
      </c>
      <c r="N59" s="497">
        <f t="shared" ca="1" si="36"/>
        <v>107200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IFERROR(__xludf.DUMMYFUNCTION("IMPORTRANGE(""https://docs.google.com/spreadsheets/d/1MeEWN-I1oV_STSDYn1IFDPWt_1FKiwhDph83XaGc0o0/edit?usp=sharing"",""งบพรบ!Z42"")"),107200)</f>
        <v>107200</v>
      </c>
      <c r="M61" s="52">
        <f ca="1">IFERROR(__xludf.DUMMYFUNCTION("IMPORTRANGE(""https://docs.google.com/spreadsheets/d/1MeEWN-I1oV_STSDYn1IFDPWt_1FKiwhDph83XaGc0o0/edit?usp=sharing"",""งบพรบ!AC42"")"),107200)</f>
        <v>107200</v>
      </c>
      <c r="N61" s="52">
        <f ca="1">IFERROR(__xludf.DUMMYFUNCTION("IMPORTRANGE(""https://docs.google.com/spreadsheets/d/1MeEWN-I1oV_STSDYn1IFDPWt_1FKiwhDph83XaGc0o0/edit?usp=sharing"",""งบพรบ!AE42"")"),107200)</f>
        <v>107200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954000</v>
      </c>
      <c r="M66" s="155">
        <f t="shared" ca="1" si="39"/>
        <v>707190</v>
      </c>
      <c r="N66" s="155">
        <f t="shared" ca="1" si="39"/>
        <v>679640.65</v>
      </c>
      <c r="O66" s="155">
        <f t="shared" ref="O66:O74" ca="1" si="40">IF(L66&gt;0,N66*100/L66,0)</f>
        <v>71.241158280922434</v>
      </c>
      <c r="P66" s="155">
        <f t="shared" ref="P66:P74" ca="1" si="41">IF(M66&gt;0,N66*100/M66,0)</f>
        <v>96.10439203043029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954000</v>
      </c>
      <c r="M68" s="93">
        <f t="shared" ca="1" si="42"/>
        <v>707190</v>
      </c>
      <c r="N68" s="93">
        <f t="shared" ca="1" si="42"/>
        <v>679640.65</v>
      </c>
      <c r="O68" s="93">
        <f t="shared" ca="1" si="40"/>
        <v>71.241158280922434</v>
      </c>
      <c r="P68" s="93">
        <f t="shared" ca="1" si="41"/>
        <v>96.10439203043029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954000</v>
      </c>
      <c r="M69" s="497">
        <f t="shared" ca="1" si="43"/>
        <v>707190</v>
      </c>
      <c r="N69" s="497">
        <f t="shared" ca="1" si="43"/>
        <v>679640.65</v>
      </c>
      <c r="O69" s="497">
        <f t="shared" ca="1" si="40"/>
        <v>71.241158280922434</v>
      </c>
      <c r="P69" s="497">
        <f t="shared" ca="1" si="41"/>
        <v>96.10439203043029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IFERROR(__xludf.DUMMYFUNCTION("IMPORTRANGE(""https://docs.google.com/spreadsheets/d/1MeEWN-I1oV_STSDYn1IFDPWt_1FKiwhDph83XaGc0o0/edit?usp=sharing"",""งบพรบ!AG42"")"),954000)</f>
        <v>954000</v>
      </c>
      <c r="M71" s="93">
        <f ca="1">IFERROR(__xludf.DUMMYFUNCTION("IMPORTRANGE(""https://docs.google.com/spreadsheets/d/1MeEWN-I1oV_STSDYn1IFDPWt_1FKiwhDph83XaGc0o0/edit?usp=sharing"",""งบพรบ!AL42"")"),707190)</f>
        <v>707190</v>
      </c>
      <c r="N71" s="93">
        <f ca="1">IFERROR(__xludf.DUMMYFUNCTION("IMPORTRANGE(""https://docs.google.com/spreadsheets/d/1MeEWN-I1oV_STSDYn1IFDPWt_1FKiwhDph83XaGc0o0/edit?usp=sharing"",""งบพรบ!AN42"")"),679640.65)</f>
        <v>679640.65</v>
      </c>
      <c r="O71" s="93">
        <f t="shared" ca="1" si="40"/>
        <v>71.241158280922434</v>
      </c>
      <c r="P71" s="93">
        <f t="shared" ca="1" si="41"/>
        <v>96.10439203043029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IFERROR(__xludf.DUMMYFUNCTION("IMPORTRANGE(""https://docs.google.com/spreadsheets/d/1MeEWN-I1oV_STSDYn1IFDPWt_1FKiwhDph83XaGc0o0/edit?usp=sharing"",""งบพรบ!AJ42"")"),0)</f>
        <v>0</v>
      </c>
      <c r="M74" s="93">
        <f ca="1">IFERROR(__xludf.DUMMYFUNCTION("IMPORTRANGE(""https://docs.google.com/spreadsheets/d/1MeEWN-I1oV_STSDYn1IFDPWt_1FKiwhDph83XaGc0o0/edit?usp=sharing"",""งบพรบ!AM42"")"),0)</f>
        <v>0</v>
      </c>
      <c r="N74" s="93">
        <f ca="1">IFERROR(__xludf.DUMMYFUNCTION("IMPORTRANGE(""https://docs.google.com/spreadsheets/d/1MeEWN-I1oV_STSDYn1IFDPWt_1FKiwhDph83XaGc0o0/edit?usp=sharing"",""งบพรบ!AO42"")"),0)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IFERROR(__xludf.DUMMYFUNCTION("IMPORTRANGE(""https://docs.google.com/spreadsheets/d/1QqKyyYR6Q21VydFLVH3TRQUabQu_ym0Zz7PgGX0-kHA/edit?usp=sharing"",""แผน!D42"")"),1)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IFERROR(__xludf.DUMMYFUNCTION("IMPORTRANGE(""https://docs.google.com/spreadsheets/d/1QqKyyYR6Q21VydFLVH3TRQUabQu_ym0Zz7PgGX0-kHA/edit?usp=sharing"",""แผน!E42"")"),40)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IFERROR(__xludf.DUMMYFUNCTION("IMPORTRANGE(""https://docs.google.com/spreadsheets/d/1QqKyyYR6Q21VydFLVH3TRQUabQu_ym0Zz7PgGX0-kHA/edit?usp=sharing"",""แผน!J42"")"),1)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269660</v>
      </c>
      <c r="M88" s="155">
        <f t="shared" ca="1" si="49"/>
        <v>218810</v>
      </c>
      <c r="N88" s="155">
        <f t="shared" ca="1" si="49"/>
        <v>193684.6</v>
      </c>
      <c r="O88" s="155">
        <f t="shared" ref="O88:O96" ca="1" si="50">IF(L88&gt;0,N88*100/L88,0)</f>
        <v>71.825483942742707</v>
      </c>
      <c r="P88" s="155">
        <f t="shared" ref="P88:P96" ca="1" si="51">IF(M88&gt;0,N88*100/M88,0)</f>
        <v>88.517252410767327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269660</v>
      </c>
      <c r="M90" s="93">
        <f t="shared" ca="1" si="52"/>
        <v>218810</v>
      </c>
      <c r="N90" s="93">
        <f t="shared" ca="1" si="52"/>
        <v>193684.6</v>
      </c>
      <c r="O90" s="93">
        <f t="shared" ca="1" si="50"/>
        <v>71.825483942742707</v>
      </c>
      <c r="P90" s="93">
        <f t="shared" ca="1" si="51"/>
        <v>88.517252410767327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269660</v>
      </c>
      <c r="M91" s="497">
        <f t="shared" ca="1" si="53"/>
        <v>218810</v>
      </c>
      <c r="N91" s="497">
        <f t="shared" ca="1" si="53"/>
        <v>193684.6</v>
      </c>
      <c r="O91" s="497">
        <f t="shared" ca="1" si="50"/>
        <v>71.825483942742707</v>
      </c>
      <c r="P91" s="497">
        <f t="shared" ca="1" si="51"/>
        <v>88.517252410767327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IFERROR(__xludf.DUMMYFUNCTION("IMPORTRANGE(""https://docs.google.com/spreadsheets/d/1MeEWN-I1oV_STSDYn1IFDPWt_1FKiwhDph83XaGc0o0/edit?usp=sharing"",""งบพรบ!AQ42"")"),269660)</f>
        <v>269660</v>
      </c>
      <c r="M93" s="93">
        <f ca="1">IFERROR(__xludf.DUMMYFUNCTION("IMPORTRANGE(""https://docs.google.com/spreadsheets/d/1MeEWN-I1oV_STSDYn1IFDPWt_1FKiwhDph83XaGc0o0/edit?usp=sharing"",""งบพรบ!AV42"")"),218810)</f>
        <v>218810</v>
      </c>
      <c r="N93" s="93">
        <f ca="1">IFERROR(__xludf.DUMMYFUNCTION("IMPORTRANGE(""https://docs.google.com/spreadsheets/d/1MeEWN-I1oV_STSDYn1IFDPWt_1FKiwhDph83XaGc0o0/edit?usp=sharing"",""งบพรบ!AX42"")"),193684.6)</f>
        <v>193684.6</v>
      </c>
      <c r="O93" s="93">
        <f t="shared" ca="1" si="50"/>
        <v>71.825483942742707</v>
      </c>
      <c r="P93" s="93">
        <f t="shared" ca="1" si="51"/>
        <v>88.517252410767327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IFERROR(__xludf.DUMMYFUNCTION("IMPORTRANGE(""https://docs.google.com/spreadsheets/d/1MeEWN-I1oV_STSDYn1IFDPWt_1FKiwhDph83XaGc0o0/edit?usp=sharing"",""งบพรบ!AT42"")"),0)</f>
        <v>0</v>
      </c>
      <c r="M96" s="93">
        <f ca="1">IFERROR(__xludf.DUMMYFUNCTION("IMPORTRANGE(""https://docs.google.com/spreadsheets/d/1MeEWN-I1oV_STSDYn1IFDPWt_1FKiwhDph83XaGc0o0/edit?usp=sharing"",""งบพรบ!AW42"")"),0)</f>
        <v>0</v>
      </c>
      <c r="N96" s="93">
        <f ca="1">IFERROR(__xludf.DUMMYFUNCTION("IMPORTRANGE(""https://docs.google.com/spreadsheets/d/1MeEWN-I1oV_STSDYn1IFDPWt_1FKiwhDph83XaGc0o0/edit?usp=sharing"",""งบพรบ!AY42"")"),0)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IFERROR(__xludf.DUMMYFUNCTION("IMPORTRANGE(""https://docs.google.com/spreadsheets/d/1QqKyyYR6Q21VydFLVH3TRQUabQu_ym0Zz7PgGX0-kHA/edit?usp=sharing"",""แผน!K42"")"),45)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IFERROR(__xludf.DUMMYFUNCTION("IMPORTRANGE(""https://docs.google.com/spreadsheets/d/1QqKyyYR6Q21VydFLVH3TRQUabQu_ym0Zz7PgGX0-kHA/edit?usp=sharing"",""แผน!L42"")"),15)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IFERROR(__xludf.DUMMYFUNCTION("IMPORTRANGE(""https://docs.google.com/spreadsheets/d/1QqKyyYR6Q21VydFLVH3TRQUabQu_ym0Zz7PgGX0-kHA/edit?usp=sharing"",""แผน!M42"")"),2)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IFERROR(__xludf.DUMMYFUNCTION("IMPORTRANGE(""https://docs.google.com/spreadsheets/d/1QqKyyYR6Q21VydFLVH3TRQUabQu_ym0Zz7PgGX0-kHA/edit?usp=sharing"",""แผน!N42"")"),45)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IFERROR(__xludf.DUMMYFUNCTION("IMPORTRANGE(""https://docs.google.com/spreadsheets/d/1QqKyyYR6Q21VydFLVH3TRQUabQu_ym0Zz7PgGX0-kHA/edit?usp=sharing"",""แผน!O42"")"),15)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IFERROR(__xludf.DUMMYFUNCTION("IMPORTRANGE(""https://docs.google.com/spreadsheets/d/1QqKyyYR6Q21VydFLVH3TRQUabQu_ym0Zz7PgGX0-kHA/edit?usp=sharing"",""แผน!O42"")"),15)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IFERROR(__xludf.DUMMYFUNCTION("IMPORTRANGE(""https://docs.google.com/spreadsheets/d/1QqKyyYR6Q21VydFLVH3TRQUabQu_ym0Zz7PgGX0-kHA/edit?usp=sharing"",""แผน!R42"")"),15)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IFERROR(__xludf.DUMMYFUNCTION("IMPORTRANGE(""https://docs.google.com/spreadsheets/d/1QqKyyYR6Q21VydFLVH3TRQUabQu_ym0Zz7PgGX0-kHA/edit?usp=sharing"",""แผน!R42"")"),15)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IFERROR(__xludf.DUMMYFUNCTION("IMPORTRANGE(""https://docs.google.com/spreadsheets/d/1QqKyyYR6Q21VydFLVH3TRQUabQu_ym0Zz7PgGX0-kHA/edit?usp=sharing"",""แผน!R42"")"),15)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IFERROR(__xludf.DUMMYFUNCTION("IMPORTRANGE(""https://docs.google.com/spreadsheets/d/1QqKyyYR6Q21VydFLVH3TRQUabQu_ym0Zz7PgGX0-kHA/edit?usp=sharing"",""แผน!S42"")"),1)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IFERROR(__xludf.DUMMYFUNCTION("IMPORTRANGE(""https://docs.google.com/spreadsheets/d/1MeEWN-I1oV_STSDYn1IFDPWt_1FKiwhDph83XaGc0o0/edit?usp=sharing"",""งบพรบ!BA42"")"),0)</f>
        <v>0</v>
      </c>
      <c r="M124" s="93">
        <f ca="1">IFERROR(__xludf.DUMMYFUNCTION("IMPORTRANGE(""https://docs.google.com/spreadsheets/d/1MeEWN-I1oV_STSDYn1IFDPWt_1FKiwhDph83XaGc0o0/edit?usp=sharing"",""งบพรบ!BF42"")"),0)</f>
        <v>0</v>
      </c>
      <c r="N124" s="93">
        <f ca="1">IFERROR(__xludf.DUMMYFUNCTION("IMPORTRANGE(""https://docs.google.com/spreadsheets/d/1MeEWN-I1oV_STSDYn1IFDPWt_1FKiwhDph83XaGc0o0/edit?usp=sharing"",""งบพรบ!BH42"")"),0)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IFERROR(__xludf.DUMMYFUNCTION("IMPORTRANGE(""https://docs.google.com/spreadsheets/d/1MeEWN-I1oV_STSDYn1IFDPWt_1FKiwhDph83XaGc0o0/edit?usp=sharing"",""งบพรบ!BD42"")"),0)</f>
        <v>0</v>
      </c>
      <c r="M127" s="93">
        <f ca="1">IFERROR(__xludf.DUMMYFUNCTION("IMPORTRANGE(""https://docs.google.com/spreadsheets/d/1MeEWN-I1oV_STSDYn1IFDPWt_1FKiwhDph83XaGc0o0/edit?usp=sharing"",""งบพรบ!BG42"")"),0)</f>
        <v>0</v>
      </c>
      <c r="N127" s="93">
        <f ca="1">IFERROR(__xludf.DUMMYFUNCTION("IMPORTRANGE(""https://docs.google.com/spreadsheets/d/1MeEWN-I1oV_STSDYn1IFDPWt_1FKiwhDph83XaGc0o0/edit?usp=sharing"",""งบพรบ!BI42"")"),0)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IFERROR(__xludf.DUMMYFUNCTION("IMPORTRANGE(""https://docs.google.com/spreadsheets/d/1MeEWN-I1oV_STSDYn1IFDPWt_1FKiwhDph83XaGc0o0/edit?usp=sharing"",""งบพรบ!BK42"")"),0)</f>
        <v>0</v>
      </c>
      <c r="M137" s="93">
        <f ca="1">IFERROR(__xludf.DUMMYFUNCTION("IMPORTRANGE(""https://docs.google.com/spreadsheets/d/1MeEWN-I1oV_STSDYn1IFDPWt_1FKiwhDph83XaGc0o0/edit?usp=sharing"",""งบพรบ!BP42"")"),0)</f>
        <v>0</v>
      </c>
      <c r="N137" s="93">
        <f ca="1">IFERROR(__xludf.DUMMYFUNCTION("IMPORTRANGE(""https://docs.google.com/spreadsheets/d/1MeEWN-I1oV_STSDYn1IFDPWt_1FKiwhDph83XaGc0o0/edit?usp=sharing"",""งบพรบ!BR42"")"),0)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IFERROR(__xludf.DUMMYFUNCTION("IMPORTRANGE(""https://docs.google.com/spreadsheets/d/1MeEWN-I1oV_STSDYn1IFDPWt_1FKiwhDph83XaGc0o0/edit?usp=sharing"",""งบพรบ!BN42"")"),0)</f>
        <v>0</v>
      </c>
      <c r="M140" s="93">
        <f ca="1">IFERROR(__xludf.DUMMYFUNCTION("IMPORTRANGE(""https://docs.google.com/spreadsheets/d/1MeEWN-I1oV_STSDYn1IFDPWt_1FKiwhDph83XaGc0o0/edit?usp=sharing"",""งบพรบ!BQ42"")"),0)</f>
        <v>0</v>
      </c>
      <c r="N140" s="93">
        <f ca="1">IFERROR(__xludf.DUMMYFUNCTION("IMPORTRANGE(""https://docs.google.com/spreadsheets/d/1MeEWN-I1oV_STSDYn1IFDPWt_1FKiwhDph83XaGc0o0/edit?usp=sharing"",""งบพรบ!BS42"")"),0)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12520</v>
      </c>
      <c r="N149" s="155">
        <f t="shared" ca="1" si="77"/>
        <v>7260</v>
      </c>
      <c r="O149" s="155">
        <f t="shared" ref="O149:O157" ca="1" si="78">IF(L149&gt;0,N149*100/L149,0)</f>
        <v>145.19999999999999</v>
      </c>
      <c r="P149" s="155">
        <f t="shared" ref="P149:P157" ca="1" si="79">IF(M149&gt;0,N149*100/M149,0)</f>
        <v>57.987220447284344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5000</v>
      </c>
      <c r="M151" s="93">
        <f t="shared" ca="1" si="80"/>
        <v>12520</v>
      </c>
      <c r="N151" s="93">
        <f t="shared" ca="1" si="80"/>
        <v>7260</v>
      </c>
      <c r="O151" s="93">
        <f t="shared" ca="1" si="78"/>
        <v>145.19999999999999</v>
      </c>
      <c r="P151" s="93">
        <f t="shared" ca="1" si="79"/>
        <v>57.987220447284344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12520</v>
      </c>
      <c r="N152" s="497">
        <f t="shared" ca="1" si="81"/>
        <v>7260</v>
      </c>
      <c r="O152" s="497">
        <f t="shared" ca="1" si="78"/>
        <v>145.19999999999999</v>
      </c>
      <c r="P152" s="497">
        <f t="shared" ca="1" si="79"/>
        <v>57.987220447284344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IFERROR(__xludf.DUMMYFUNCTION("IMPORTRANGE(""https://docs.google.com/spreadsheets/d/1MeEWN-I1oV_STSDYn1IFDPWt_1FKiwhDph83XaGc0o0/edit?usp=sharing"",""งบพรบ!BU42"")"),5000)</f>
        <v>5000</v>
      </c>
      <c r="M154" s="93">
        <f ca="1">IFERROR(__xludf.DUMMYFUNCTION("IMPORTRANGE(""https://docs.google.com/spreadsheets/d/1MeEWN-I1oV_STSDYn1IFDPWt_1FKiwhDph83XaGc0o0/edit?usp=sharing"",""งบพรบ!BZ42"")"),12520)</f>
        <v>12520</v>
      </c>
      <c r="N154" s="93">
        <f ca="1">IFERROR(__xludf.DUMMYFUNCTION("IMPORTRANGE(""https://docs.google.com/spreadsheets/d/1MeEWN-I1oV_STSDYn1IFDPWt_1FKiwhDph83XaGc0o0/edit?usp=sharing"",""งบพรบ!CB42"")"),7260)</f>
        <v>7260</v>
      </c>
      <c r="O154" s="93">
        <f t="shared" ca="1" si="78"/>
        <v>145.19999999999999</v>
      </c>
      <c r="P154" s="93">
        <f t="shared" ca="1" si="79"/>
        <v>57.987220447284344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IFERROR(__xludf.DUMMYFUNCTION("IMPORTRANGE(""https://docs.google.com/spreadsheets/d/1MeEWN-I1oV_STSDYn1IFDPWt_1FKiwhDph83XaGc0o0/edit?usp=sharing"",""งบพรบ!BX42"")"),0)</f>
        <v>0</v>
      </c>
      <c r="M157" s="93">
        <f ca="1">IFERROR(__xludf.DUMMYFUNCTION("IMPORTRANGE(""https://docs.google.com/spreadsheets/d/1MeEWN-I1oV_STSDYn1IFDPWt_1FKiwhDph83XaGc0o0/edit?usp=sharing"",""งบพรบ!CA42"")"),0)</f>
        <v>0</v>
      </c>
      <c r="N157" s="93">
        <f ca="1">IFERROR(__xludf.DUMMYFUNCTION("IMPORTRANGE(""https://docs.google.com/spreadsheets/d/1MeEWN-I1oV_STSDYn1IFDPWt_1FKiwhDph83XaGc0o0/edit?usp=sharing"",""งบพรบ!CC42"")"),0)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IFERROR(__xludf.DUMMYFUNCTION("IMPORTRANGE(""https://docs.google.com/spreadsheets/d/1QqKyyYR6Q21VydFLVH3TRQUabQu_ym0Zz7PgGX0-kHA/edit?usp=sharing"",""แผน!X42"")"),10)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IFERROR(__xludf.DUMMYFUNCTION("IMPORTRANGE(""https://docs.google.com/spreadsheets/d/1MeEWN-I1oV_STSDYn1IFDPWt_1FKiwhDph83XaGc0o0/edit?usp=sharing"",""งบพรบ!CE42"")"),23060)</f>
        <v>23060</v>
      </c>
      <c r="M170" s="93">
        <f ca="1">IFERROR(__xludf.DUMMYFUNCTION("IMPORTRANGE(""https://docs.google.com/spreadsheets/d/1MeEWN-I1oV_STSDYn1IFDPWt_1FKiwhDph83XaGc0o0/edit?usp=sharing"",""งบพรบ!CJ42"")"),23060)</f>
        <v>23060</v>
      </c>
      <c r="N170" s="93">
        <f ca="1">IFERROR(__xludf.DUMMYFUNCTION("IMPORTRANGE(""https://docs.google.com/spreadsheets/d/1MeEWN-I1oV_STSDYn1IFDPWt_1FKiwhDph83XaGc0o0/edit?usp=sharing"",""งบพรบ!CL42"")"),23060)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IFERROR(__xludf.DUMMYFUNCTION("IMPORTRANGE(""https://docs.google.com/spreadsheets/d/1MeEWN-I1oV_STSDYn1IFDPWt_1FKiwhDph83XaGc0o0/edit?usp=sharing"",""งบพรบ!CH42"")"),0)</f>
        <v>0</v>
      </c>
      <c r="M173" s="93">
        <f ca="1">IFERROR(__xludf.DUMMYFUNCTION("IMPORTRANGE(""https://docs.google.com/spreadsheets/d/1MeEWN-I1oV_STSDYn1IFDPWt_1FKiwhDph83XaGc0o0/edit?usp=sharing"",""งบพรบ!CK42"")"),0)</f>
        <v>0</v>
      </c>
      <c r="N173" s="93">
        <f ca="1">IFERROR(__xludf.DUMMYFUNCTION("IMPORTRANGE(""https://docs.google.com/spreadsheets/d/1MeEWN-I1oV_STSDYn1IFDPWt_1FKiwhDph83XaGc0o0/edit?usp=sharing"",""งบพรบ!CM42"")"),0)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67600</v>
      </c>
      <c r="M181" s="155">
        <f t="shared" ca="1" si="92"/>
        <v>48500</v>
      </c>
      <c r="N181" s="155">
        <f t="shared" ca="1" si="92"/>
        <v>42430</v>
      </c>
      <c r="O181" s="155">
        <f t="shared" ref="O181:O189" ca="1" si="93">IF(L181&gt;0,N181*100/L181,0)</f>
        <v>62.76627218934911</v>
      </c>
      <c r="P181" s="155">
        <f t="shared" ref="P181:P189" ca="1" si="94">IF(M181&gt;0,N181*100/M181,0)</f>
        <v>87.484536082474222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67600</v>
      </c>
      <c r="M183" s="93">
        <f t="shared" ca="1" si="95"/>
        <v>48500</v>
      </c>
      <c r="N183" s="93">
        <f t="shared" ca="1" si="95"/>
        <v>42430</v>
      </c>
      <c r="O183" s="93">
        <f t="shared" ca="1" si="93"/>
        <v>62.76627218934911</v>
      </c>
      <c r="P183" s="93">
        <f t="shared" ca="1" si="94"/>
        <v>87.484536082474222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67600</v>
      </c>
      <c r="M184" s="497">
        <f t="shared" ca="1" si="96"/>
        <v>48500</v>
      </c>
      <c r="N184" s="497">
        <f t="shared" ca="1" si="96"/>
        <v>42430</v>
      </c>
      <c r="O184" s="497">
        <f t="shared" ca="1" si="93"/>
        <v>62.76627218934911</v>
      </c>
      <c r="P184" s="497">
        <f t="shared" ca="1" si="94"/>
        <v>87.484536082474222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IFERROR(__xludf.DUMMYFUNCTION("IMPORTRANGE(""https://docs.google.com/spreadsheets/d/1MeEWN-I1oV_STSDYn1IFDPWt_1FKiwhDph83XaGc0o0/edit?usp=sharing"",""งบพรบ!CO42"")"),67600)</f>
        <v>67600</v>
      </c>
      <c r="M186" s="93">
        <f ca="1">IFERROR(__xludf.DUMMYFUNCTION("IMPORTRANGE(""https://docs.google.com/spreadsheets/d/1MeEWN-I1oV_STSDYn1IFDPWt_1FKiwhDph83XaGc0o0/edit?usp=sharing"",""งบพรบ!CT42"")"),48500)</f>
        <v>48500</v>
      </c>
      <c r="N186" s="93">
        <f ca="1">IFERROR(__xludf.DUMMYFUNCTION("IMPORTRANGE(""https://docs.google.com/spreadsheets/d/1MeEWN-I1oV_STSDYn1IFDPWt_1FKiwhDph83XaGc0o0/edit?usp=sharing"",""งบพรบ!CV42"")"),42430)</f>
        <v>42430</v>
      </c>
      <c r="O186" s="93">
        <f t="shared" ca="1" si="93"/>
        <v>62.76627218934911</v>
      </c>
      <c r="P186" s="93">
        <f t="shared" ca="1" si="94"/>
        <v>87.484536082474222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IFERROR(__xludf.DUMMYFUNCTION("IMPORTRANGE(""https://docs.google.com/spreadsheets/d/1MeEWN-I1oV_STSDYn1IFDPWt_1FKiwhDph83XaGc0o0/edit?usp=sharing"",""งบพรบ!CR42"")"),0)</f>
        <v>0</v>
      </c>
      <c r="M189" s="93">
        <f ca="1">IFERROR(__xludf.DUMMYFUNCTION("IMPORTRANGE(""https://docs.google.com/spreadsheets/d/1MeEWN-I1oV_STSDYn1IFDPWt_1FKiwhDph83XaGc0o0/edit?usp=sharing"",""งบพรบ!CU42"")"),0)</f>
        <v>0</v>
      </c>
      <c r="N189" s="93">
        <f ca="1">IFERROR(__xludf.DUMMYFUNCTION("IMPORTRANGE(""https://docs.google.com/spreadsheets/d/1MeEWN-I1oV_STSDYn1IFDPWt_1FKiwhDph83XaGc0o0/edit?usp=sharing"",""งบพรบ!CW42"")"),0)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IFERROR(__xludf.DUMMYFUNCTION("IMPORTRANGE(""https://docs.google.com/spreadsheets/d/1QqKyyYR6Q21VydFLVH3TRQUabQu_ym0Zz7PgGX0-kHA/edit?usp=sharing"",""แผน!Z42"")"),6000)</f>
        <v>6000</v>
      </c>
      <c r="M191" s="155"/>
      <c r="N191" s="276">
        <v>3430</v>
      </c>
      <c r="O191" s="155">
        <f ca="1">IF(L191&gt;0,N191*100/L191,0)</f>
        <v>57.166666666666664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37220</v>
      </c>
      <c r="O198" s="155">
        <f ca="1">IF(L198&gt;0,N198*100/L198,0)</f>
        <v>95.435897435897431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IFERROR(__xludf.DUMMYFUNCTION("IMPORTRANGE(""https://docs.google.com/spreadsheets/d/1QqKyyYR6Q21VydFLVH3TRQUabQu_ym0Zz7PgGX0-kHA/edit?usp=sharing"",""แผน!AE42"")"),3000)</f>
        <v>3000</v>
      </c>
      <c r="M199" s="497"/>
      <c r="N199" s="838">
        <v>1220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IFERROR(__xludf.DUMMYFUNCTION("IMPORTRANGE(""https://docs.google.com/spreadsheets/d/1QqKyyYR6Q21VydFLVH3TRQUabQu_ym0Zz7PgGX0-kHA/edit?usp=sharing"",""แผน!AG42"")"),12000)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IFERROR(__xludf.DUMMYFUNCTION("IMPORTRANGE(""https://docs.google.com/spreadsheets/d/1QqKyyYR6Q21VydFLVH3TRQUabQu_ym0Zz7PgGX0-kHA/edit?usp=sharing"",""แผน!AP42"")"),5000)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IFERROR(__xludf.DUMMYFUNCTION("IMPORTRANGE(""https://docs.google.com/spreadsheets/d/1QqKyyYR6Q21VydFLVH3TRQUabQu_ym0Zz7PgGX0-kHA/edit?usp=sharing"",""แผน!AQ42"")"),17600)</f>
        <v>17600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IFERROR(__xludf.DUMMYFUNCTION("IMPORTRANGE(""https://docs.google.com/spreadsheets/d/1QqKyyYR6Q21VydFLVH3TRQUabQu_ym0Zz7PgGX0-kHA/edit?usp=sharing"",""แผน!AT42"")"),64000)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IFERROR(__xludf.DUMMYFUNCTION("IMPORTRANGE(""https://docs.google.com/spreadsheets/d/1QqKyyYR6Q21VydFLVH3TRQUabQu_ym0Zz7PgGX0-kHA/edit?usp=sharing"",""แผน!AT42"")"),64000)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26875</v>
      </c>
      <c r="O261" s="155">
        <f t="shared" ref="O261:O269" ca="1" si="117">IF(L261&gt;0,N261*100/L261,0)</f>
        <v>87.54071661237785</v>
      </c>
      <c r="P261" s="155">
        <f t="shared" ref="P261:P269" ca="1" si="118">IF(M261&gt;0,N261*100/M261,0)</f>
        <v>97.021660649819495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26875</v>
      </c>
      <c r="O263" s="93">
        <f t="shared" ca="1" si="117"/>
        <v>87.54071661237785</v>
      </c>
      <c r="P263" s="93">
        <f t="shared" ca="1" si="118"/>
        <v>97.021660649819495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26875</v>
      </c>
      <c r="O264" s="497">
        <f t="shared" ca="1" si="117"/>
        <v>87.54071661237785</v>
      </c>
      <c r="P264" s="497">
        <f t="shared" ca="1" si="118"/>
        <v>97.021660649819495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IFERROR(__xludf.DUMMYFUNCTION("IMPORTRANGE(""https://docs.google.com/spreadsheets/d/1MeEWN-I1oV_STSDYn1IFDPWt_1FKiwhDph83XaGc0o0/edit?usp=sharing"",""งบพรบ!CY42"")"),30700)</f>
        <v>30700</v>
      </c>
      <c r="M266" s="93">
        <f ca="1">IFERROR(__xludf.DUMMYFUNCTION("IMPORTRANGE(""https://docs.google.com/spreadsheets/d/1MeEWN-I1oV_STSDYn1IFDPWt_1FKiwhDph83XaGc0o0/edit?usp=sharing"",""งบพรบ!DD42"")"),27700)</f>
        <v>27700</v>
      </c>
      <c r="N266" s="93">
        <f ca="1">IFERROR(__xludf.DUMMYFUNCTION("IMPORTRANGE(""https://docs.google.com/spreadsheets/d/1MeEWN-I1oV_STSDYn1IFDPWt_1FKiwhDph83XaGc0o0/edit?usp=sharing"",""งบพรบ!DF42"")"),26875)</f>
        <v>26875</v>
      </c>
      <c r="O266" s="93">
        <f t="shared" ca="1" si="117"/>
        <v>87.54071661237785</v>
      </c>
      <c r="P266" s="93">
        <f t="shared" ca="1" si="118"/>
        <v>97.021660649819495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IFERROR(__xludf.DUMMYFUNCTION("IMPORTRANGE(""https://docs.google.com/spreadsheets/d/1MeEWN-I1oV_STSDYn1IFDPWt_1FKiwhDph83XaGc0o0/edit?usp=sharing"",""งบพรบ!DB42"")"),0)</f>
        <v>0</v>
      </c>
      <c r="M269" s="93">
        <f ca="1">IFERROR(__xludf.DUMMYFUNCTION("IMPORTRANGE(""https://docs.google.com/spreadsheets/d/1MeEWN-I1oV_STSDYn1IFDPWt_1FKiwhDph83XaGc0o0/edit?usp=sharing"",""งบพรบ!DE42"")"),0)</f>
        <v>0</v>
      </c>
      <c r="N269" s="93">
        <f ca="1">IFERROR(__xludf.DUMMYFUNCTION("IMPORTRANGE(""https://docs.google.com/spreadsheets/d/1MeEWN-I1oV_STSDYn1IFDPWt_1FKiwhDph83XaGc0o0/edit?usp=sharing"",""งบพรบ!DG42"")"),0)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IFERROR(__xludf.DUMMYFUNCTION("IMPORTRANGE(""https://docs.google.com/spreadsheets/d/1QqKyyYR6Q21VydFLVH3TRQUabQu_ym0Zz7PgGX0-kHA/edit?usp=sharing"",""แผน!EA42"")"),26)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40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138624</v>
      </c>
      <c r="O277" s="155">
        <f t="shared" ref="O277:O285" ca="1" si="126">IF(L277&gt;0,N277*100/L277,0)</f>
        <v>94.282799428688023</v>
      </c>
      <c r="P277" s="155">
        <f t="shared" ref="P277:P285" ca="1" si="127">IF(M277&gt;0,N277*100/M277,0)</f>
        <v>94.282799428688023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138624</v>
      </c>
      <c r="O279" s="93">
        <f t="shared" ca="1" si="126"/>
        <v>94.282799428688023</v>
      </c>
      <c r="P279" s="93">
        <f t="shared" ca="1" si="127"/>
        <v>94.282799428688023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147030</v>
      </c>
      <c r="N280" s="497">
        <f t="shared" ca="1" si="129"/>
        <v>138624</v>
      </c>
      <c r="O280" s="497">
        <f t="shared" ca="1" si="126"/>
        <v>94.282799428688023</v>
      </c>
      <c r="P280" s="497">
        <f t="shared" ca="1" si="127"/>
        <v>94.282799428688023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IFERROR(__xludf.DUMMYFUNCTION("IMPORTRANGE(""https://docs.google.com/spreadsheets/d/1MeEWN-I1oV_STSDYn1IFDPWt_1FKiwhDph83XaGc0o0/edit?usp=sharing"",""งบพรบ!DI42"")"),147030)</f>
        <v>147030</v>
      </c>
      <c r="M282" s="93">
        <f ca="1">IFERROR(__xludf.DUMMYFUNCTION("IMPORTRANGE(""https://docs.google.com/spreadsheets/d/1MeEWN-I1oV_STSDYn1IFDPWt_1FKiwhDph83XaGc0o0/edit?usp=sharing"",""งบพรบ!DN42"")"),147030)</f>
        <v>147030</v>
      </c>
      <c r="N282" s="93">
        <f ca="1">IFERROR(__xludf.DUMMYFUNCTION("IMPORTRANGE(""https://docs.google.com/spreadsheets/d/1MeEWN-I1oV_STSDYn1IFDPWt_1FKiwhDph83XaGc0o0/edit?usp=sharing"",""งบพรบ!DP42"")"),138624)</f>
        <v>138624</v>
      </c>
      <c r="O282" s="93">
        <f t="shared" ca="1" si="126"/>
        <v>94.282799428688023</v>
      </c>
      <c r="P282" s="93">
        <f t="shared" ca="1" si="127"/>
        <v>94.282799428688023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IFERROR(__xludf.DUMMYFUNCTION("IMPORTRANGE(""https://docs.google.com/spreadsheets/d/1MeEWN-I1oV_STSDYn1IFDPWt_1FKiwhDph83XaGc0o0/edit?usp=sharing"",""งบพรบ!DL42"")"),0)</f>
        <v>0</v>
      </c>
      <c r="M285" s="93">
        <f ca="1">IFERROR(__xludf.DUMMYFUNCTION("IMPORTRANGE(""https://docs.google.com/spreadsheets/d/1MeEWN-I1oV_STSDYn1IFDPWt_1FKiwhDph83XaGc0o0/edit?usp=sharing"",""งบพรบ!DO42"")"),0)</f>
        <v>0</v>
      </c>
      <c r="N285" s="93">
        <f ca="1">IFERROR(__xludf.DUMMYFUNCTION("IMPORTRANGE(""https://docs.google.com/spreadsheets/d/1MeEWN-I1oV_STSDYn1IFDPWt_1FKiwhDph83XaGc0o0/edit?usp=sharing"",""งบพรบ!DQ42"")"),0)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IFERROR(__xludf.DUMMYFUNCTION("IMPORTRANGE(""https://docs.google.com/spreadsheets/d/1QqKyyYR6Q21VydFLVH3TRQUabQu_ym0Zz7PgGX0-kHA/edit?usp=sharing"",""แผน!EC42"")"),400)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IFERROR(__xludf.DUMMYFUNCTION("IMPORTRANGE(""https://docs.google.com/spreadsheets/d/1QqKyyYR6Q21VydFLVH3TRQUabQu_ym0Zz7PgGX0-kHA/edit?usp=sharing"",""แผน!EB42"")"),40)</f>
        <v>40</v>
      </c>
      <c r="J288" s="679">
        <f ca="1">IF(AND(J291&gt;=I288,J294&gt;=I288),J294,0)</f>
        <v>40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IFERROR(__xludf.DUMMYFUNCTION("IMPORTRANGE(""https://docs.google.com/spreadsheets/d/1QqKyyYR6Q21VydFLVH3TRQUabQu_ym0Zz7PgGX0-kHA/edit?usp=sharing"",""แผน!EB42"")"),40)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IFERROR(__xludf.DUMMYFUNCTION("IMPORTRANGE(""https://docs.google.com/spreadsheets/d/1QqKyyYR6Q21VydFLVH3TRQUabQu_ym0Zz7PgGX0-kHA/edit?usp=sharing"",""แผน!EB42"")"),40)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IFERROR(__xludf.DUMMYFUNCTION("IMPORTRANGE(""https://docs.google.com/spreadsheets/d/1QqKyyYR6Q21VydFLVH3TRQUabQu_ym0Zz7PgGX0-kHA/edit?usp=sharing"",""แผน!EB42"")"),40)</f>
        <v>40</v>
      </c>
      <c r="J293" s="215">
        <v>40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IFERROR(__xludf.DUMMYFUNCTION("IMPORTRANGE(""https://docs.google.com/spreadsheets/d/1QqKyyYR6Q21VydFLVH3TRQUabQu_ym0Zz7PgGX0-kHA/edit?usp=sharing"",""แผน!EB42"")"),40)</f>
        <v>40</v>
      </c>
      <c r="J294" s="424">
        <v>40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62700</v>
      </c>
      <c r="O298" s="155">
        <f t="shared" ref="O298:O306" ca="1" si="136">IF(L298&gt;0,N298*100/L298,0)</f>
        <v>76.092233009708735</v>
      </c>
      <c r="P298" s="155">
        <f t="shared" ref="P298:P306" ca="1" si="137">IF(M298&gt;0,N298*100/M298,0)</f>
        <v>97.360248447204967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62700</v>
      </c>
      <c r="O300" s="93">
        <f t="shared" ca="1" si="136"/>
        <v>76.092233009708735</v>
      </c>
      <c r="P300" s="93">
        <f t="shared" ca="1" si="137"/>
        <v>97.360248447204967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62700</v>
      </c>
      <c r="O301" s="497">
        <f t="shared" ca="1" si="136"/>
        <v>76.092233009708735</v>
      </c>
      <c r="P301" s="497">
        <f t="shared" ca="1" si="137"/>
        <v>97.360248447204967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IFERROR(__xludf.DUMMYFUNCTION("IMPORTRANGE(""https://docs.google.com/spreadsheets/d/1MeEWN-I1oV_STSDYn1IFDPWt_1FKiwhDph83XaGc0o0/edit?usp=sharing"",""งบพรบ!DS42"")"),82400)</f>
        <v>82400</v>
      </c>
      <c r="M303" s="93">
        <f ca="1">IFERROR(__xludf.DUMMYFUNCTION("IMPORTRANGE(""https://docs.google.com/spreadsheets/d/1MeEWN-I1oV_STSDYn1IFDPWt_1FKiwhDph83XaGc0o0/edit?usp=sharing"",""งบพรบ!DX42"")"),64400)</f>
        <v>64400</v>
      </c>
      <c r="N303" s="93">
        <f ca="1">IFERROR(__xludf.DUMMYFUNCTION("IMPORTRANGE(""https://docs.google.com/spreadsheets/d/1MeEWN-I1oV_STSDYn1IFDPWt_1FKiwhDph83XaGc0o0/edit?usp=sharing"",""งบพรบ!DZ42"")"),62700)</f>
        <v>62700</v>
      </c>
      <c r="O303" s="93">
        <f t="shared" ca="1" si="136"/>
        <v>76.092233009708735</v>
      </c>
      <c r="P303" s="93">
        <f t="shared" ca="1" si="137"/>
        <v>97.360248447204967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IFERROR(__xludf.DUMMYFUNCTION("IMPORTRANGE(""https://docs.google.com/spreadsheets/d/1MeEWN-I1oV_STSDYn1IFDPWt_1FKiwhDph83XaGc0o0/edit?usp=sharing"",""งบพรบ!DV42"")"),0)</f>
        <v>0</v>
      </c>
      <c r="M306" s="93">
        <f ca="1">IFERROR(__xludf.DUMMYFUNCTION("IMPORTRANGE(""https://docs.google.com/spreadsheets/d/1MeEWN-I1oV_STSDYn1IFDPWt_1FKiwhDph83XaGc0o0/edit?usp=sharing"",""งบพรบ!DY42"")"),0)</f>
        <v>0</v>
      </c>
      <c r="N306" s="93">
        <f ca="1">IFERROR(__xludf.DUMMYFUNCTION("IMPORTRANGE(""https://docs.google.com/spreadsheets/d/1MeEWN-I1oV_STSDYn1IFDPWt_1FKiwhDph83XaGc0o0/edit?usp=sharing"",""งบพรบ!EA42"")"),0)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IFERROR(__xludf.DUMMYFUNCTION("IMPORTRANGE(""https://docs.google.com/spreadsheets/d/1QqKyyYR6Q21VydFLVH3TRQUabQu_ym0Zz7PgGX0-kHA/edit?usp=sharing"",""แผน!ED42"")"),20)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IFERROR(__xludf.DUMMYFUNCTION("IMPORTRANGE(""https://docs.google.com/spreadsheets/d/1QqKyyYR6Q21VydFLVH3TRQUabQu_ym0Zz7PgGX0-kHA/edit?usp=sharing"",""แผน!ED42"")"),20)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IFERROR(__xludf.DUMMYFUNCTION("IMPORTRANGE(""https://docs.google.com/spreadsheets/d/1QqKyyYR6Q21VydFLVH3TRQUabQu_ym0Zz7PgGX0-kHA/edit?usp=sharing"",""แผน!ED42"")"),20)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IFERROR(__xludf.DUMMYFUNCTION("IMPORTRANGE(""https://docs.google.com/spreadsheets/d/1QqKyyYR6Q21VydFLVH3TRQUabQu_ym0Zz7PgGX0-kHA/edit?usp=sharing"",""แผน!EE42"")"),4)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IFERROR(__xludf.DUMMYFUNCTION("IMPORTRANGE(""https://docs.google.com/spreadsheets/d/1MeEWN-I1oV_STSDYn1IFDPWt_1FKiwhDph83XaGc0o0/edit?usp=sharing"",""งบพรบ!EC42"")"),0)</f>
        <v>0</v>
      </c>
      <c r="M320" s="93">
        <f ca="1">IFERROR(__xludf.DUMMYFUNCTION("IMPORTRANGE(""https://docs.google.com/spreadsheets/d/1MeEWN-I1oV_STSDYn1IFDPWt_1FKiwhDph83XaGc0o0/edit?usp=sharing"",""งบพรบ!EH42"")"),0)</f>
        <v>0</v>
      </c>
      <c r="N320" s="93">
        <f ca="1">IFERROR(__xludf.DUMMYFUNCTION("IMPORTRANGE(""https://docs.google.com/spreadsheets/d/1MeEWN-I1oV_STSDYn1IFDPWt_1FKiwhDph83XaGc0o0/edit?usp=sharing"",""งบพรบ!EJ42"")"),0)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IFERROR(__xludf.DUMMYFUNCTION("IMPORTRANGE(""https://docs.google.com/spreadsheets/d/1MeEWN-I1oV_STSDYn1IFDPWt_1FKiwhDph83XaGc0o0/edit?usp=sharing"",""งบพรบ!EF42"")"),0)</f>
        <v>0</v>
      </c>
      <c r="M323" s="93">
        <f ca="1">IFERROR(__xludf.DUMMYFUNCTION("IMPORTRANGE(""https://docs.google.com/spreadsheets/d/1MeEWN-I1oV_STSDYn1IFDPWt_1FKiwhDph83XaGc0o0/edit?usp=sharing"",""งบพรบ!EI42"")"),0)</f>
        <v>0</v>
      </c>
      <c r="N323" s="93">
        <f ca="1">IFERROR(__xludf.DUMMYFUNCTION("IMPORTRANGE(""https://docs.google.com/spreadsheets/d/1MeEWN-I1oV_STSDYn1IFDPWt_1FKiwhDph83XaGc0o0/edit?usp=sharing"",""งบพรบ!EK42"")"),0)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IFERROR(__xludf.DUMMYFUNCTION("IMPORTRANGE(""https://docs.google.com/spreadsheets/d/1QqKyyYR6Q21VydFLVH3TRQUabQu_ym0Zz7PgGX0-kHA/edit?usp=sharing"",""แผน!EG42"")"),5600)</f>
        <v>5600</v>
      </c>
      <c r="J327" s="444">
        <f ca="1">J338+J341+J342+J343</f>
        <v>6663</v>
      </c>
      <c r="K327" s="445">
        <f ca="1">IF(I327&gt;0,J327*100/I327,0)</f>
        <v>118.98214285714286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271600</v>
      </c>
      <c r="M328" s="155">
        <f t="shared" ca="1" si="149"/>
        <v>206200</v>
      </c>
      <c r="N328" s="155">
        <f t="shared" ca="1" si="149"/>
        <v>129132.96</v>
      </c>
      <c r="O328" s="155">
        <f t="shared" ref="O328:O336" ca="1" si="150">IF(L328&gt;0,N328*100/L328,0)</f>
        <v>47.545272459499266</v>
      </c>
      <c r="P328" s="155">
        <f t="shared" ref="P328:P336" ca="1" si="151">IF(M328&gt;0,N328*100/M328,0)</f>
        <v>62.625101842870997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271600</v>
      </c>
      <c r="M330" s="93">
        <f t="shared" ca="1" si="152"/>
        <v>206200</v>
      </c>
      <c r="N330" s="93">
        <f t="shared" ca="1" si="152"/>
        <v>129132.96</v>
      </c>
      <c r="O330" s="93">
        <f t="shared" ca="1" si="150"/>
        <v>47.545272459499266</v>
      </c>
      <c r="P330" s="93">
        <f t="shared" ca="1" si="151"/>
        <v>62.625101842870997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271600</v>
      </c>
      <c r="M331" s="497">
        <f t="shared" ca="1" si="153"/>
        <v>206200</v>
      </c>
      <c r="N331" s="497">
        <f t="shared" ca="1" si="153"/>
        <v>129132.96</v>
      </c>
      <c r="O331" s="497">
        <f t="shared" ca="1" si="150"/>
        <v>47.545272459499266</v>
      </c>
      <c r="P331" s="497">
        <f t="shared" ca="1" si="151"/>
        <v>62.625101842870997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IFERROR(__xludf.DUMMYFUNCTION("IMPORTRANGE(""https://docs.google.com/spreadsheets/d/1MeEWN-I1oV_STSDYn1IFDPWt_1FKiwhDph83XaGc0o0/edit?usp=sharing"",""งบพรบ!EM42"")"),271600)</f>
        <v>271600</v>
      </c>
      <c r="M333" s="93">
        <f ca="1">IFERROR(__xludf.DUMMYFUNCTION("IMPORTRANGE(""https://docs.google.com/spreadsheets/d/1MeEWN-I1oV_STSDYn1IFDPWt_1FKiwhDph83XaGc0o0/edit?usp=sharing"",""งบพรบ!ER42"")"),206200)</f>
        <v>206200</v>
      </c>
      <c r="N333" s="93">
        <f ca="1">IFERROR(__xludf.DUMMYFUNCTION("IMPORTRANGE(""https://docs.google.com/spreadsheets/d/1MeEWN-I1oV_STSDYn1IFDPWt_1FKiwhDph83XaGc0o0/edit?usp=sharing"",""งบพรบ!ET42"")"),129132.96)</f>
        <v>129132.96</v>
      </c>
      <c r="O333" s="93">
        <f t="shared" ca="1" si="150"/>
        <v>47.545272459499266</v>
      </c>
      <c r="P333" s="93">
        <f t="shared" ca="1" si="151"/>
        <v>62.625101842870997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IFERROR(__xludf.DUMMYFUNCTION("IMPORTRANGE(""https://docs.google.com/spreadsheets/d/1MeEWN-I1oV_STSDYn1IFDPWt_1FKiwhDph83XaGc0o0/edit?usp=sharing"",""งบพรบ!EP42"")"),0)</f>
        <v>0</v>
      </c>
      <c r="M336" s="93">
        <f ca="1">IFERROR(__xludf.DUMMYFUNCTION("IMPORTRANGE(""https://docs.google.com/spreadsheets/d/1MeEWN-I1oV_STSDYn1IFDPWt_1FKiwhDph83XaGc0o0/edit?usp=sharing"",""งบพรบ!ES42"")"),0)</f>
        <v>0</v>
      </c>
      <c r="N336" s="93">
        <f ca="1">IFERROR(__xludf.DUMMYFUNCTION("IMPORTRANGE(""https://docs.google.com/spreadsheets/d/1MeEWN-I1oV_STSDYn1IFDPWt_1FKiwhDph83XaGc0o0/edit?usp=sharing"",""งบพรบ!EU42"")"),0)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IFERROR(__xludf.DUMMYFUNCTION("IMPORTRANGE(""https://docs.google.com/spreadsheets/d/1QqKyyYR6Q21VydFLVH3TRQUabQu_ym0Zz7PgGX0-kHA/edit?usp=sharing"",""แผน!EG42"")"),5600)</f>
        <v>5600</v>
      </c>
      <c r="J338" s="270">
        <f ca="1">IFERROR(__xludf.DUMMYFUNCTION("IMPORTRANGE(""https://docs.google.com/spreadsheets/d/1kVcqe37tkHyjCSG3S0O1AXqVkqjo8mSIZil3BcpIysc/edit?usp=sharing"",""ศูนย์!D42"")"),6592)</f>
        <v>6592</v>
      </c>
      <c r="K338" s="497">
        <f ca="1">IF(I338&gt;0,J338*100/I338,0)</f>
        <v>117.71428571428571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IFERROR(__xludf.DUMMYFUNCTION("IMPORTRANGE(""https://docs.google.com/spreadsheets/d/1QqKyyYR6Q21VydFLVH3TRQUabQu_ym0Zz7PgGX0-kHA/edit?usp=sharing"",""แผน!EH42"")"),8)</f>
        <v>8</v>
      </c>
      <c r="J340" s="270">
        <f ca="1">IFERROR(__xludf.DUMMYFUNCTION("IMPORTRANGE(""https://docs.google.com/spreadsheets/d/1kVcqe37tkHyjCSG3S0O1AXqVkqjo8mSIZil3BcpIysc/edit?usp=sharing"",""ศูนย์!E42"")"),6)</f>
        <v>6</v>
      </c>
      <c r="K340" s="497">
        <f ca="1">IF(I340&gt;0,J340*100/I340,0)</f>
        <v>75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IFERROR(__xludf.DUMMYFUNCTION("IMPORTRANGE(""https://docs.google.com/spreadsheets/d/1kVcqe37tkHyjCSG3S0O1AXqVkqjo8mSIZil3BcpIysc/edit?usp=sharing"",""ศูนย์!F42"")"),71)</f>
        <v>71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1261590</v>
      </c>
      <c r="M345" s="155">
        <f t="shared" ca="1" si="155"/>
        <v>1106430</v>
      </c>
      <c r="N345" s="155">
        <f t="shared" ca="1" si="155"/>
        <v>915208.86</v>
      </c>
      <c r="O345" s="155">
        <f t="shared" ref="O345:O353" ca="1" si="156">IF(L345&gt;0,N345*100/L345,0)</f>
        <v>72.544080089410983</v>
      </c>
      <c r="P345" s="155">
        <f t="shared" ref="P345:P353" ca="1" si="157">IF(M345&gt;0,N345*100/M345,0)</f>
        <v>82.717285323066079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1261590</v>
      </c>
      <c r="M347" s="93">
        <f t="shared" ca="1" si="158"/>
        <v>1106430</v>
      </c>
      <c r="N347" s="93">
        <f t="shared" ca="1" si="158"/>
        <v>915208.86</v>
      </c>
      <c r="O347" s="93">
        <f t="shared" ca="1" si="156"/>
        <v>72.544080089410983</v>
      </c>
      <c r="P347" s="93">
        <f t="shared" ca="1" si="157"/>
        <v>82.717285323066079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1044090</v>
      </c>
      <c r="M348" s="497">
        <f t="shared" ca="1" si="159"/>
        <v>888930</v>
      </c>
      <c r="N348" s="497">
        <f t="shared" ca="1" si="159"/>
        <v>697708.86</v>
      </c>
      <c r="O348" s="497">
        <f t="shared" ca="1" si="156"/>
        <v>66.824589834209689</v>
      </c>
      <c r="P348" s="497">
        <f t="shared" ca="1" si="157"/>
        <v>78.488616651479873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IFERROR(__xludf.DUMMYFUNCTION("IMPORTRANGE(""https://docs.google.com/spreadsheets/d/1MeEWN-I1oV_STSDYn1IFDPWt_1FKiwhDph83XaGc0o0/edit?usp=sharing"",""งบพรบ!EW42"")"),1044090)</f>
        <v>1044090</v>
      </c>
      <c r="M350" s="93">
        <f ca="1">IFERROR(__xludf.DUMMYFUNCTION("IMPORTRANGE(""https://docs.google.com/spreadsheets/d/1MeEWN-I1oV_STSDYn1IFDPWt_1FKiwhDph83XaGc0o0/edit?usp=sharing"",""งบพรบ!FB42"")"),888930)</f>
        <v>888930</v>
      </c>
      <c r="N350" s="93">
        <f ca="1">IFERROR(__xludf.DUMMYFUNCTION("IMPORTRANGE(""https://docs.google.com/spreadsheets/d/1MeEWN-I1oV_STSDYn1IFDPWt_1FKiwhDph83XaGc0o0/edit?usp=sharing"",""งบพรบ!FD42"")"),697708.86)</f>
        <v>697708.86</v>
      </c>
      <c r="O350" s="93">
        <f t="shared" ca="1" si="156"/>
        <v>66.824589834209689</v>
      </c>
      <c r="P350" s="93">
        <f t="shared" ca="1" si="157"/>
        <v>78.488616651479873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217500</v>
      </c>
      <c r="M351" s="497">
        <f t="shared" ca="1" si="160"/>
        <v>217500</v>
      </c>
      <c r="N351" s="497">
        <f t="shared" ca="1" si="160"/>
        <v>217500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IFERROR(__xludf.DUMMYFUNCTION("IMPORTRANGE(""https://docs.google.com/spreadsheets/d/1MeEWN-I1oV_STSDYn1IFDPWt_1FKiwhDph83XaGc0o0/edit?usp=sharing"",""งบพรบ!EZ42"")"),217500)</f>
        <v>217500</v>
      </c>
      <c r="M353" s="93">
        <f ca="1">IFERROR(__xludf.DUMMYFUNCTION("IMPORTRANGE(""https://docs.google.com/spreadsheets/d/1MeEWN-I1oV_STSDYn1IFDPWt_1FKiwhDph83XaGc0o0/edit?usp=sharing"",""งบพรบ!FC42"")"),217500)</f>
        <v>217500</v>
      </c>
      <c r="N353" s="93">
        <f ca="1">IFERROR(__xludf.DUMMYFUNCTION("IMPORTRANGE(""https://docs.google.com/spreadsheets/d/1MeEWN-I1oV_STSDYn1IFDPWt_1FKiwhDph83XaGc0o0/edit?usp=sharing"",""งบพรบ!FE42"")"),217500)</f>
        <v>217500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IFERROR(__xludf.DUMMYFUNCTION("IMPORTRANGE(""https://docs.google.com/spreadsheets/d/1QqKyyYR6Q21VydFLVH3TRQUabQu_ym0Zz7PgGX0-kHA/edit?usp=sharing"",""แผน!EP42"")"),670)</f>
        <v>670</v>
      </c>
      <c r="J355" s="464">
        <f ca="1">J362</f>
        <v>330</v>
      </c>
      <c r="K355" s="465">
        <f ca="1">IF(I355&gt;0,J355*100/I355,0)</f>
        <v>49.253731343283583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IFERROR(__xludf.DUMMYFUNCTION("IMPORTRANGE(""https://docs.google.com/spreadsheets/d/1XWAQStnk-4SwqDmLtmXYiTMKHgktTP8We1SCoS47DrQ/edit?usp=sharing"",""จัดที่ดิน!W42"")"),377)</f>
        <v>377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IFERROR(__xludf.DUMMYFUNCTION("IMPORTRANGE(""https://docs.google.com/spreadsheets/d/1QqKyyYR6Q21VydFLVH3TRQUabQu_ym0Zz7PgGX0-kHA/edit?usp=sharing"",""แผน!EO42"")"),6700)</f>
        <v>6700</v>
      </c>
      <c r="J359" s="270">
        <f ca="1">IFERROR(__xludf.DUMMYFUNCTION("IMPORTRANGE(""https://docs.google.com/spreadsheets/d/1XWAQStnk-4SwqDmLtmXYiTMKHgktTP8We1SCoS47DrQ/edit?usp=sharing"",""จัดที่ดิน!X42"")"),2911.14)</f>
        <v>2911.14</v>
      </c>
      <c r="K359" s="497">
        <f t="shared" ca="1" si="161"/>
        <v>43.449850746268659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IFERROR(__xludf.DUMMYFUNCTION("IMPORTRANGE(""https://docs.google.com/spreadsheets/d/1QqKyyYR6Q21VydFLVH3TRQUabQu_ym0Zz7PgGX0-kHA/edit?usp=sharing"",""แผน!EP42"")"),670)</f>
        <v>670</v>
      </c>
      <c r="J360" s="270">
        <f ca="1">IFERROR(__xludf.DUMMYFUNCTION("IMPORTRANGE(""https://docs.google.com/spreadsheets/d/1XWAQStnk-4SwqDmLtmXYiTMKHgktTP8We1SCoS47DrQ/edit?usp=sharing"",""จัดที่ดิน!Y42"")"),383)</f>
        <v>383</v>
      </c>
      <c r="K360" s="497">
        <f t="shared" ca="1" si="161"/>
        <v>57.164179104477611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IFERROR(__xludf.DUMMYFUNCTION("IMPORTRANGE(""https://docs.google.com/spreadsheets/d/1XWAQStnk-4SwqDmLtmXYiTMKHgktTP8We1SCoS47DrQ/edit?usp=sharing"",""จัดที่ดิน!Z42"")"),2948.55)</f>
        <v>2948.55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IFERROR(__xludf.DUMMYFUNCTION("IMPORTRANGE(""https://docs.google.com/spreadsheets/d/1QqKyyYR6Q21VydFLVH3TRQUabQu_ym0Zz7PgGX0-kHA/edit?usp=sharing"",""แผน!EP42"")"),670)</f>
        <v>670</v>
      </c>
      <c r="J362" s="270">
        <f ca="1">IFERROR(__xludf.DUMMYFUNCTION("IMPORTRANGE(""https://docs.google.com/spreadsheets/d/1XWAQStnk-4SwqDmLtmXYiTMKHgktTP8We1SCoS47DrQ/edit?usp=sharing"",""จัดที่ดิน!AA42"")"),330)</f>
        <v>330</v>
      </c>
      <c r="K362" s="497">
        <f t="shared" ca="1" si="161"/>
        <v>49.253731343283583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IFERROR(__xludf.DUMMYFUNCTION("IMPORTRANGE(""https://docs.google.com/spreadsheets/d/1XWAQStnk-4SwqDmLtmXYiTMKHgktTP8We1SCoS47DrQ/edit?usp=sharing"",""จัดที่ดิน!AB42"")"),2476.81)</f>
        <v>2476.81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1120</v>
      </c>
      <c r="J364" s="478">
        <f t="shared" ca="1" si="162"/>
        <v>757</v>
      </c>
      <c r="K364" s="479">
        <f t="shared" ca="1" si="161"/>
        <v>67.589285714285708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IFERROR(__xludf.DUMMYFUNCTION("IMPORTRANGE(""https://docs.google.com/spreadsheets/d/1QqKyyYR6Q21VydFLVH3TRQUabQu_ym0Zz7PgGX0-kHA/edit?usp=sharing"",""แผน!EJ42"")"),120)</f>
        <v>120</v>
      </c>
      <c r="J365" s="490">
        <f ca="1">J372</f>
        <v>61</v>
      </c>
      <c r="K365" s="491">
        <f t="shared" ca="1" si="161"/>
        <v>50.833333333333336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IFERROR(__xludf.DUMMYFUNCTION("IMPORTRANGE(""https://docs.google.com/spreadsheets/d/1XWAQStnk-4SwqDmLtmXYiTMKHgktTP8We1SCoS47DrQ/edit?usp=sharing"",""จัดที่ดิน!E42"")"),70)</f>
        <v>70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IFERROR(__xludf.DUMMYFUNCTION("IMPORTRANGE(""https://docs.google.com/spreadsheets/d/1QqKyyYR6Q21VydFLVH3TRQUabQu_ym0Zz7PgGX0-kHA/edit?usp=sharing"",""แผน!EI42"")"),1200)</f>
        <v>1200</v>
      </c>
      <c r="J369" s="270">
        <f ca="1">IFERROR(__xludf.DUMMYFUNCTION("IMPORTRANGE(""https://docs.google.com/spreadsheets/d/1XWAQStnk-4SwqDmLtmXYiTMKHgktTP8We1SCoS47DrQ/edit?usp=sharing"",""จัดที่ดิน!F42"")"),535.79)</f>
        <v>535.79</v>
      </c>
      <c r="K369" s="497">
        <f t="shared" ca="1" si="163"/>
        <v>44.649166666666666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IFERROR(__xludf.DUMMYFUNCTION("IMPORTRANGE(""https://docs.google.com/spreadsheets/d/1QqKyyYR6Q21VydFLVH3TRQUabQu_ym0Zz7PgGX0-kHA/edit?usp=sharing"",""แผน!EJ42"")"),120)</f>
        <v>120</v>
      </c>
      <c r="J370" s="270">
        <f ca="1">IFERROR(__xludf.DUMMYFUNCTION("IMPORTRANGE(""https://docs.google.com/spreadsheets/d/1XWAQStnk-4SwqDmLtmXYiTMKHgktTP8We1SCoS47DrQ/edit?usp=sharing"",""จัดที่ดิน!G42"")"),76)</f>
        <v>76</v>
      </c>
      <c r="K370" s="497">
        <f t="shared" ca="1" si="163"/>
        <v>63.333333333333336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IFERROR(__xludf.DUMMYFUNCTION("IMPORTRANGE(""https://docs.google.com/spreadsheets/d/1XWAQStnk-4SwqDmLtmXYiTMKHgktTP8We1SCoS47DrQ/edit?usp=sharing"",""จัดที่ดิน!H42"")"),573.2)</f>
        <v>573.20000000000005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IFERROR(__xludf.DUMMYFUNCTION("IMPORTRANGE(""https://docs.google.com/spreadsheets/d/1QqKyyYR6Q21VydFLVH3TRQUabQu_ym0Zz7PgGX0-kHA/edit?usp=sharing"",""แผน!EJ42"")"),120)</f>
        <v>120</v>
      </c>
      <c r="J372" s="270">
        <f ca="1">IFERROR(__xludf.DUMMYFUNCTION("IMPORTRANGE(""https://docs.google.com/spreadsheets/d/1XWAQStnk-4SwqDmLtmXYiTMKHgktTP8We1SCoS47DrQ/edit?usp=sharing"",""จัดที่ดิน!I42"")"),61)</f>
        <v>61</v>
      </c>
      <c r="K372" s="497">
        <f t="shared" ca="1" si="163"/>
        <v>50.833333333333336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IFERROR(__xludf.DUMMYFUNCTION("IMPORTRANGE(""https://docs.google.com/spreadsheets/d/1XWAQStnk-4SwqDmLtmXYiTMKHgktTP8We1SCoS47DrQ/edit?usp=sharing"",""จัดที่ดิน!J42"")"),426.39)</f>
        <v>426.39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IFERROR(__xludf.DUMMYFUNCTION("IMPORTRANGE(""https://docs.google.com/spreadsheets/d/1QqKyyYR6Q21VydFLVH3TRQUabQu_ym0Zz7PgGX0-kHA/edit?usp=sharing"",""แผน!EU42"")"),1000)</f>
        <v>1000</v>
      </c>
      <c r="J374" s="490">
        <f ca="1">J381</f>
        <v>696</v>
      </c>
      <c r="K374" s="491">
        <f t="shared" ca="1" si="163"/>
        <v>69.599999999999994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IFERROR(__xludf.DUMMYFUNCTION("IMPORTRANGE(""https://docs.google.com/spreadsheets/d/1XWAQStnk-4SwqDmLtmXYiTMKHgktTP8We1SCoS47DrQ/edit?usp=sharing"",""จัดที่ดิน!AH42"")"),307)</f>
        <v>307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IFERROR(__xludf.DUMMYFUNCTION("IMPORTRANGE(""https://docs.google.com/spreadsheets/d/1QqKyyYR6Q21VydFLVH3TRQUabQu_ym0Zz7PgGX0-kHA/edit?usp=sharing"",""แผน!ET42"")"),5500)</f>
        <v>5500</v>
      </c>
      <c r="J378" s="270">
        <f ca="1">IFERROR(__xludf.DUMMYFUNCTION("IMPORTRANGE(""https://docs.google.com/spreadsheets/d/1XWAQStnk-4SwqDmLtmXYiTMKHgktTP8We1SCoS47DrQ/edit?usp=sharing"",""จัดที่ดิน!AI42"")"),2375.35)</f>
        <v>2375.35</v>
      </c>
      <c r="K378" s="497">
        <f t="shared" ca="1" si="164"/>
        <v>43.188181818181818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IFERROR(__xludf.DUMMYFUNCTION("IMPORTRANGE(""https://docs.google.com/spreadsheets/d/1QqKyyYR6Q21VydFLVH3TRQUabQu_ym0Zz7PgGX0-kHA/edit?usp=sharing"",""แผน!EU42"")"),1000)</f>
        <v>1000</v>
      </c>
      <c r="J379" s="270">
        <f ca="1">IFERROR(__xludf.DUMMYFUNCTION("IMPORTRANGE(""https://docs.google.com/spreadsheets/d/1XWAQStnk-4SwqDmLtmXYiTMKHgktTP8We1SCoS47DrQ/edit?usp=sharing"",""จัดที่ดิน!AJ42"")"),945)</f>
        <v>945</v>
      </c>
      <c r="K379" s="497">
        <f t="shared" ca="1" si="164"/>
        <v>94.5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IFERROR(__xludf.DUMMYFUNCTION("IMPORTRANGE(""https://docs.google.com/spreadsheets/d/1XWAQStnk-4SwqDmLtmXYiTMKHgktTP8We1SCoS47DrQ/edit?usp=sharing"",""จัดที่ดิน!AK42"")"),9538.76)</f>
        <v>9538.76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IFERROR(__xludf.DUMMYFUNCTION("IMPORTRANGE(""https://docs.google.com/spreadsheets/d/1QqKyyYR6Q21VydFLVH3TRQUabQu_ym0Zz7PgGX0-kHA/edit?usp=sharing"",""แผน!EU42"")"),1000)</f>
        <v>1000</v>
      </c>
      <c r="J381" s="270">
        <f ca="1">IFERROR(__xludf.DUMMYFUNCTION("IMPORTRANGE(""https://docs.google.com/spreadsheets/d/1XWAQStnk-4SwqDmLtmXYiTMKHgktTP8We1SCoS47DrQ/edit?usp=sharing"",""จัดที่ดิน!AL42"")"),696)</f>
        <v>696</v>
      </c>
      <c r="K381" s="497">
        <f t="shared" ca="1" si="164"/>
        <v>69.599999999999994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IFERROR(__xludf.DUMMYFUNCTION("IMPORTRANGE(""https://docs.google.com/spreadsheets/d/1XWAQStnk-4SwqDmLtmXYiTMKHgktTP8We1SCoS47DrQ/edit?usp=sharing"",""จัดที่ดิน!AM42"")"),6772.47)</f>
        <v>6772.47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IFERROR(__xludf.DUMMYFUNCTION("IMPORTRANGE(""https://docs.google.com/spreadsheets/d/1QqKyyYR6Q21VydFLVH3TRQUabQu_ym0Zz7PgGX0-kHA/edit?usp=sharing"",""แผน!EW42"")"),100)</f>
        <v>100</v>
      </c>
      <c r="J385" s="504">
        <f ca="1">IFERROR(__xludf.DUMMYFUNCTION("IMPORTRANGE(""https://docs.google.com/spreadsheets/d/1XWAQStnk-4SwqDmLtmXYiTMKHgktTP8We1SCoS47DrQ/edit?usp=sharing"",""จัดที่ดิน!AP42"")"),0)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IFERROR(__xludf.DUMMYFUNCTION("IMPORTRANGE(""https://docs.google.com/spreadsheets/d/1MeEWN-I1oV_STSDYn1IFDPWt_1FKiwhDph83XaGc0o0/edit?usp=sharing"",""งบพรบ!FG42"")"),0)</f>
        <v>0</v>
      </c>
      <c r="M394" s="93">
        <f ca="1">IFERROR(__xludf.DUMMYFUNCTION("IMPORTRANGE(""https://docs.google.com/spreadsheets/d/1MeEWN-I1oV_STSDYn1IFDPWt_1FKiwhDph83XaGc0o0/edit?usp=sharing"",""งบพรบ!FL42"")"),0)</f>
        <v>0</v>
      </c>
      <c r="N394" s="93">
        <f ca="1">IFERROR(__xludf.DUMMYFUNCTION("IMPORTRANGE(""https://docs.google.com/spreadsheets/d/1MeEWN-I1oV_STSDYn1IFDPWt_1FKiwhDph83XaGc0o0/edit?usp=sharing"",""งบพรบ!FN42"")"),0)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IFERROR(__xludf.DUMMYFUNCTION("IMPORTRANGE(""https://docs.google.com/spreadsheets/d/1MeEWN-I1oV_STSDYn1IFDPWt_1FKiwhDph83XaGc0o0/edit?usp=sharing"",""งบพรบ!FJ42"")"),0)</f>
        <v>0</v>
      </c>
      <c r="M397" s="93">
        <f ca="1">IFERROR(__xludf.DUMMYFUNCTION("IMPORTRANGE(""https://docs.google.com/spreadsheets/d/1MeEWN-I1oV_STSDYn1IFDPWt_1FKiwhDph83XaGc0o0/edit?usp=sharing"",""งบพรบ!FM42"")"),0)</f>
        <v>0</v>
      </c>
      <c r="N397" s="93">
        <f ca="1">IFERROR(__xludf.DUMMYFUNCTION("IMPORTRANGE(""https://docs.google.com/spreadsheets/d/1MeEWN-I1oV_STSDYn1IFDPWt_1FKiwhDph83XaGc0o0/edit?usp=sharing"",""งบพรบ!FO42"")"),0)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IFERROR(__xludf.DUMMYFUNCTION("IMPORTRANGE(""https://docs.google.com/spreadsheets/d/1MeEWN-I1oV_STSDYn1IFDPWt_1FKiwhDph83XaGc0o0/edit?usp=sharing"",""งบพรบ!FQ42"")"),0)</f>
        <v>0</v>
      </c>
      <c r="M407" s="93">
        <f ca="1">IFERROR(__xludf.DUMMYFUNCTION("IMPORTRANGE(""https://docs.google.com/spreadsheets/d/1MeEWN-I1oV_STSDYn1IFDPWt_1FKiwhDph83XaGc0o0/edit?usp=sharing"",""งบพรบ!FV42"")"),0)</f>
        <v>0</v>
      </c>
      <c r="N407" s="93">
        <f ca="1">IFERROR(__xludf.DUMMYFUNCTION("IMPORTRANGE(""https://docs.google.com/spreadsheets/d/1MeEWN-I1oV_STSDYn1IFDPWt_1FKiwhDph83XaGc0o0/edit?usp=sharing"",""งบพรบ!FX42"")"),0)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IFERROR(__xludf.DUMMYFUNCTION("IMPORTRANGE(""https://docs.google.com/spreadsheets/d/1MeEWN-I1oV_STSDYn1IFDPWt_1FKiwhDph83XaGc0o0/edit?usp=sharing"",""งบพรบ!FT42"")"),0)</f>
        <v>0</v>
      </c>
      <c r="M410" s="93">
        <f ca="1">IFERROR(__xludf.DUMMYFUNCTION("IMPORTRANGE(""https://docs.google.com/spreadsheets/d/1MeEWN-I1oV_STSDYn1IFDPWt_1FKiwhDph83XaGc0o0/edit?usp=sharing"",""งบพรบ!FW42"")"),0)</f>
        <v>0</v>
      </c>
      <c r="N410" s="93">
        <f ca="1">IFERROR(__xludf.DUMMYFUNCTION("IMPORTRANGE(""https://docs.google.com/spreadsheets/d/1MeEWN-I1oV_STSDYn1IFDPWt_1FKiwhDph83XaGc0o0/edit?usp=sharing"",""งบพรบ!FY42"")"),0)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2507047</v>
      </c>
      <c r="M414" s="552">
        <f t="shared" ca="1" si="181"/>
        <v>2507047</v>
      </c>
      <c r="N414" s="552">
        <f t="shared" si="181"/>
        <v>1377598.51</v>
      </c>
      <c r="O414" s="552">
        <f ca="1">IF(L414&gt;0,N414*100/L414,0)</f>
        <v>54.949050017809796</v>
      </c>
      <c r="P414" s="552">
        <f ca="1">IF(M414&gt;0,N414*100/M414,0)</f>
        <v>54.949050017809796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77840</v>
      </c>
      <c r="O419" s="155">
        <f t="shared" ref="O419:O424" ca="1" si="185">IF(L419&gt;0,N419*100/L419,0)</f>
        <v>98.957538774472411</v>
      </c>
      <c r="P419" s="155">
        <f t="shared" ref="P419:P424" ca="1" si="186">IF(M419&gt;0,N419*100/M419,0)</f>
        <v>98.957538774472411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77840</v>
      </c>
      <c r="O421" s="93">
        <f t="shared" ca="1" si="185"/>
        <v>98.957538774472411</v>
      </c>
      <c r="P421" s="93">
        <f t="shared" ca="1" si="186"/>
        <v>98.957538774472411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77840</v>
      </c>
      <c r="O422" s="497">
        <f t="shared" ca="1" si="185"/>
        <v>98.957538774472411</v>
      </c>
      <c r="P422" s="497">
        <f t="shared" ca="1" si="186"/>
        <v>98.957538774472411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IFERROR(__xludf.DUMMYFUNCTION("IMPORTRANGE(""https://docs.google.com/spreadsheets/d/1QqKyyYR6Q21VydFLVH3TRQUabQu_ym0Zz7PgGX0-kHA/edit?usp=sharing"",""แผน!EY42"")"),78660)</f>
        <v>78660</v>
      </c>
      <c r="M424" s="93">
        <f ca="1">L424</f>
        <v>78660</v>
      </c>
      <c r="N424" s="93">
        <f>N425+N426+N427+N428</f>
        <v>77840</v>
      </c>
      <c r="O424" s="93">
        <f t="shared" ca="1" si="185"/>
        <v>98.957538774472411</v>
      </c>
      <c r="P424" s="93">
        <f t="shared" ca="1" si="186"/>
        <v>98.957538774472411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77840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688280</v>
      </c>
      <c r="M444" s="195">
        <f t="shared" ca="1" si="197"/>
        <v>688280</v>
      </c>
      <c r="N444" s="195">
        <f t="shared" si="197"/>
        <v>610280</v>
      </c>
      <c r="O444" s="195">
        <f t="shared" ref="O444:O449" ca="1" si="198">IF(L444&gt;0,N444*100/L444,0)</f>
        <v>88.66740280118556</v>
      </c>
      <c r="P444" s="195">
        <f t="shared" ref="P444:P449" ca="1" si="199">IF(M444&gt;0,N444*100/M444,0)</f>
        <v>88.66740280118556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688280</v>
      </c>
      <c r="M446" s="93">
        <f t="shared" ca="1" si="200"/>
        <v>688280</v>
      </c>
      <c r="N446" s="93">
        <f t="shared" si="200"/>
        <v>610280</v>
      </c>
      <c r="O446" s="93">
        <f t="shared" ca="1" si="198"/>
        <v>88.66740280118556</v>
      </c>
      <c r="P446" s="93">
        <f t="shared" ca="1" si="199"/>
        <v>88.66740280118556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688280</v>
      </c>
      <c r="M447" s="497">
        <f t="shared" ca="1" si="201"/>
        <v>688280</v>
      </c>
      <c r="N447" s="497">
        <f t="shared" si="201"/>
        <v>610280</v>
      </c>
      <c r="O447" s="497">
        <f t="shared" ca="1" si="198"/>
        <v>88.66740280118556</v>
      </c>
      <c r="P447" s="497">
        <f t="shared" ca="1" si="199"/>
        <v>88.66740280118556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IFERROR(__xludf.DUMMYFUNCTION("IMPORTRANGE(""https://docs.google.com/spreadsheets/d/1QqKyyYR6Q21VydFLVH3TRQUabQu_ym0Zz7PgGX0-kHA/edit?usp=sharing"",""แผน!FJ42"")"),688280)</f>
        <v>688280</v>
      </c>
      <c r="M449" s="93">
        <f ca="1">L449</f>
        <v>688280</v>
      </c>
      <c r="N449" s="93">
        <f>N450+N451+N452+N453</f>
        <v>610280</v>
      </c>
      <c r="O449" s="93">
        <f t="shared" ca="1" si="198"/>
        <v>88.66740280118556</v>
      </c>
      <c r="P449" s="93">
        <f t="shared" ca="1" si="199"/>
        <v>88.66740280118556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136677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350000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65000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58603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IFERROR(__xludf.DUMMYFUNCTION("IMPORTRANGE(""https://docs.google.com/spreadsheets/d/1QqKyyYR6Q21VydFLVH3TRQUabQu_ym0Zz7PgGX0-kHA/edit?usp=sharing"",""แผน!FN42"")"),100)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IFERROR(__xludf.DUMMYFUNCTION("IMPORTRANGE(""https://docs.google.com/spreadsheets/d/1QqKyyYR6Q21VydFLVH3TRQUabQu_ym0Zz7PgGX0-kHA/edit?usp=sharing"",""แผน!FO42"")"),400)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IFERROR(__xludf.DUMMYFUNCTION("IMPORTRANGE(""https://docs.google.com/spreadsheets/d/1QqKyyYR6Q21VydFLVH3TRQUabQu_ym0Zz7PgGX0-kHA/edit?usp=sharing"",""แผน!FO42"")"),400)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IFERROR(__xludf.DUMMYFUNCTION("IMPORTRANGE(""https://docs.google.com/spreadsheets/d/1QqKyyYR6Q21VydFLVH3TRQUabQu_ym0Zz7PgGX0-kHA/edit?usp=sharing"",""แผน!FN42"")"),100)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IFERROR(__xludf.DUMMYFUNCTION("IMPORTRANGE(""https://docs.google.com/spreadsheets/d/1QqKyyYR6Q21VydFLVH3TRQUabQu_ym0Zz7PgGX0-kHA/edit?usp=sharing"",""แผน!FX42"")"),61)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IFERROR(__xludf.DUMMYFUNCTION("IMPORTRANGE(""https://docs.google.com/spreadsheets/d/1QqKyyYR6Q21VydFLVH3TRQUabQu_ym0Zz7PgGX0-kHA/edit?usp=sharing"",""แผน!FW42"")"),600)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491423</v>
      </c>
      <c r="M467" s="195">
        <f t="shared" ca="1" si="206"/>
        <v>491423</v>
      </c>
      <c r="N467" s="195">
        <f t="shared" si="206"/>
        <v>115423</v>
      </c>
      <c r="O467" s="195">
        <f t="shared" ref="O467:O472" ca="1" si="207">IF(L467&gt;0,N467*100/L467,0)</f>
        <v>23.487504654849285</v>
      </c>
      <c r="P467" s="195">
        <f t="shared" ref="P467:P472" ca="1" si="208">IF(M467&gt;0,N467*100/M467,0)</f>
        <v>23.487504654849285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491423</v>
      </c>
      <c r="M469" s="93">
        <f t="shared" ca="1" si="209"/>
        <v>491423</v>
      </c>
      <c r="N469" s="93">
        <f t="shared" si="209"/>
        <v>115423</v>
      </c>
      <c r="O469" s="93">
        <f t="shared" ca="1" si="207"/>
        <v>23.487504654849285</v>
      </c>
      <c r="P469" s="93">
        <f t="shared" ca="1" si="208"/>
        <v>23.487504654849285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491423</v>
      </c>
      <c r="M470" s="497">
        <f t="shared" ca="1" si="210"/>
        <v>491423</v>
      </c>
      <c r="N470" s="497">
        <f t="shared" si="210"/>
        <v>115423</v>
      </c>
      <c r="O470" s="497">
        <f t="shared" ca="1" si="207"/>
        <v>23.487504654849285</v>
      </c>
      <c r="P470" s="497">
        <f t="shared" ca="1" si="208"/>
        <v>23.487504654849285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IFERROR(__xludf.DUMMYFUNCTION("IMPORTRANGE(""https://docs.google.com/spreadsheets/d/1QqKyyYR6Q21VydFLVH3TRQUabQu_ym0Zz7PgGX0-kHA/edit?usp=sharing"",""แผน!FS42"")"),491423)</f>
        <v>491423</v>
      </c>
      <c r="M472" s="93">
        <f ca="1">L472</f>
        <v>491423</v>
      </c>
      <c r="N472" s="93">
        <f>N473+N474+N475+N476</f>
        <v>115423</v>
      </c>
      <c r="O472" s="93">
        <f t="shared" ca="1" si="207"/>
        <v>23.487504654849285</v>
      </c>
      <c r="P472" s="93">
        <f t="shared" ca="1" si="208"/>
        <v>23.487504654849285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60723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54700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IFERROR(__xludf.DUMMYFUNCTION("IMPORTRANGE(""https://docs.google.com/spreadsheets/d/1QqKyyYR6Q21VydFLVH3TRQUabQu_ym0Zz7PgGX0-kHA/edit?usp=sharing"",""แผน!FY42"")"),540)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IFERROR(__xludf.DUMMYFUNCTION("IMPORTRANGE(""https://docs.google.com/spreadsheets/d/1QqKyyYR6Q21VydFLVH3TRQUabQu_ym0Zz7PgGX0-kHA/edit?usp=sharing"",""แผน!FZ42"")"),54)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IFERROR(__xludf.DUMMYFUNCTION("IMPORTRANGE(""https://docs.google.com/spreadsheets/d/1QqKyyYR6Q21VydFLVH3TRQUabQu_ym0Zz7PgGX0-kHA/edit?usp=sharing"",""แผน!GA42"")"),60)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IFERROR(__xludf.DUMMYFUNCTION("IMPORTRANGE(""https://docs.google.com/spreadsheets/d/1QqKyyYR6Q21VydFLVH3TRQUabQu_ym0Zz7PgGX0-kHA/edit?usp=sharing"",""แผน!GB42"")"),6)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IFERROR(__xludf.DUMMYFUNCTION("IMPORTRANGE(""https://docs.google.com/spreadsheets/d/1QqKyyYR6Q21VydFLVH3TRQUabQu_ym0Zz7PgGX0-kHA/edit?usp=sharing"",""แผน!FY42"")"),540)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IFERROR(__xludf.DUMMYFUNCTION("IMPORTRANGE(""https://docs.google.com/spreadsheets/d/1QqKyyYR6Q21VydFLVH3TRQUabQu_ym0Zz7PgGX0-kHA/edit?usp=sharing"",""แผน!GA42"")"),60)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IFERROR(__xludf.DUMMYFUNCTION("IMPORTRANGE(""https://docs.google.com/spreadsheets/d/1QqKyyYR6Q21VydFLVH3TRQUabQu_ym0Zz7PgGX0-kHA/edit?usp=sharing"",""แผน!GU42"")"),0)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63455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525419</v>
      </c>
      <c r="M544" s="155">
        <f t="shared" ca="1" si="236"/>
        <v>525419</v>
      </c>
      <c r="N544" s="155">
        <f t="shared" si="236"/>
        <v>269971.84999999998</v>
      </c>
      <c r="O544" s="155">
        <f t="shared" ref="O544:O549" ca="1" si="237">IF(L544&gt;0,N544*100/L544,0)</f>
        <v>51.382201633363081</v>
      </c>
      <c r="P544" s="155">
        <f t="shared" ref="P544:P549" ca="1" si="238">IF(M544&gt;0,N544*100/M544,0)</f>
        <v>51.382201633363081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525419</v>
      </c>
      <c r="M546" s="93">
        <f t="shared" ca="1" si="240"/>
        <v>525419</v>
      </c>
      <c r="N546" s="93">
        <f t="shared" si="240"/>
        <v>269971.84999999998</v>
      </c>
      <c r="O546" s="93">
        <f t="shared" ca="1" si="237"/>
        <v>51.382201633363081</v>
      </c>
      <c r="P546" s="93">
        <f t="shared" ca="1" si="238"/>
        <v>51.382201633363081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525419</v>
      </c>
      <c r="M547" s="497">
        <f t="shared" ca="1" si="241"/>
        <v>525419</v>
      </c>
      <c r="N547" s="497">
        <f t="shared" si="241"/>
        <v>269971.84999999998</v>
      </c>
      <c r="O547" s="497">
        <f t="shared" ca="1" si="237"/>
        <v>51.382201633363081</v>
      </c>
      <c r="P547" s="497">
        <f t="shared" ca="1" si="238"/>
        <v>51.382201633363081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IFERROR(__xludf.DUMMYFUNCTION("IMPORTRANGE(""https://docs.google.com/spreadsheets/d/1QqKyyYR6Q21VydFLVH3TRQUabQu_ym0Zz7PgGX0-kHA/edit?usp=sharing"",""แผน!HB42"")"),525419)</f>
        <v>525419</v>
      </c>
      <c r="M549" s="93">
        <f ca="1">L549</f>
        <v>525419</v>
      </c>
      <c r="N549" s="93">
        <f>N550+N551+N552+N553+N554</f>
        <v>269971.84999999998</v>
      </c>
      <c r="O549" s="93">
        <f t="shared" ca="1" si="237"/>
        <v>51.382201633363081</v>
      </c>
      <c r="P549" s="93">
        <f t="shared" ca="1" si="238"/>
        <v>51.382201633363081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64579.85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205392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63455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IFERROR(__xludf.DUMMYFUNCTION("IMPORTRANGE(""https://docs.google.com/spreadsheets/d/1QqKyyYR6Q21VydFLVH3TRQUabQu_ym0Zz7PgGX0-kHA/edit?usp=sharing"",""แผน!HH42"")"),63455)</f>
        <v>63455</v>
      </c>
      <c r="J560" s="193">
        <f t="shared" ref="J560:J561" si="247">J562+J564+J566</f>
        <v>63455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IFERROR(__xludf.DUMMYFUNCTION("IMPORTRANGE(""https://docs.google.com/spreadsheets/d/1QqKyyYR6Q21VydFLVH3TRQUabQu_ym0Zz7PgGX0-kHA/edit?usp=sharing"",""แผน!HG42"")"),7501)</f>
        <v>7501</v>
      </c>
      <c r="J561" s="193">
        <f t="shared" si="247"/>
        <v>7501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52695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6380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8669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886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2091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235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IFERROR(__xludf.DUMMYFUNCTION("IMPORTRANGE(""https://docs.google.com/spreadsheets/d/1QqKyyYR6Q21VydFLVH3TRQUabQu_ym0Zz7PgGX0-kHA/edit?usp=sharing"",""แผน!HH42"")"),63455)</f>
        <v>63455</v>
      </c>
      <c r="J568" s="679">
        <f t="shared" ref="J568:J569" si="248">J570+J572+J574</f>
        <v>63455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IFERROR(__xludf.DUMMYFUNCTION("IMPORTRANGE(""https://docs.google.com/spreadsheets/d/1QqKyyYR6Q21VydFLVH3TRQUabQu_ym0Zz7PgGX0-kHA/edit?usp=sharing"",""แผน!HG42"")"),7501)</f>
        <v>7501</v>
      </c>
      <c r="J569" s="679">
        <f t="shared" si="248"/>
        <v>7501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52990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6418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8286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843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2179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240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IFERROR(__xludf.DUMMYFUNCTION("IMPORTRANGE(""https://docs.google.com/spreadsheets/d/1QqKyyYR6Q21VydFLVH3TRQUabQu_ym0Zz7PgGX0-kHA/edit?usp=sharing"",""แผน!HH42"")"),63455)</f>
        <v>63455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IFERROR(__xludf.DUMMYFUNCTION("IMPORTRANGE(""https://docs.google.com/spreadsheets/d/1QqKyyYR6Q21VydFLVH3TRQUabQu_ym0Zz7PgGX0-kHA/edit?usp=sharing"",""แผน!HG42"")"),7501)</f>
        <v>7501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6025.25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IFERROR(__xludf.DUMMYFUNCTION("IMPORTRANGE(""https://docs.google.com/spreadsheets/d/1QqKyyYR6Q21VydFLVH3TRQUabQu_ym0Zz7PgGX0-kHA/edit?usp=sharing"",""แผน!HJ42"")"),6025.25)</f>
        <v>6025.25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IFERROR(__xludf.DUMMYFUNCTION("IMPORTRANGE(""https://docs.google.com/spreadsheets/d/1QqKyyYR6Q21VydFLVH3TRQUabQu_ym0Zz7PgGX0-kHA/edit?usp=sharing"",""แผน!HI42"")"),553)</f>
        <v>553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IFERROR(__xludf.DUMMYFUNCTION("IMPORTRANGE(""https://docs.google.com/spreadsheets/d/1QqKyyYR6Q21VydFLVH3TRQUabQu_ym0Zz7PgGX0-kHA/edit?usp=sharing"",""แผน!HL42"")"),144)</f>
        <v>144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IFERROR(__xludf.DUMMYFUNCTION("IMPORTRANGE(""https://docs.google.com/spreadsheets/d/1QqKyyYR6Q21VydFLVH3TRQUabQu_ym0Zz7PgGX0-kHA/edit?usp=sharing"",""แผน!HK42"")"),9)</f>
        <v>9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210</v>
      </c>
      <c r="J628" s="739">
        <f t="shared" ca="1" si="262"/>
        <v>139</v>
      </c>
      <c r="K628" s="740">
        <f ca="1">IF(I628&gt;0,J628*100/I628,0)</f>
        <v>66.19047619047619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442125</v>
      </c>
      <c r="M629" s="195">
        <f t="shared" ca="1" si="263"/>
        <v>442125</v>
      </c>
      <c r="N629" s="195">
        <f t="shared" si="263"/>
        <v>133620</v>
      </c>
      <c r="O629" s="195">
        <f t="shared" ref="O629:O634" ca="1" si="264">IF(L629&gt;0,N629*100/L629,0)</f>
        <v>30.222222222222221</v>
      </c>
      <c r="P629" s="195">
        <f t="shared" ref="P629:P634" ca="1" si="265">IF(M629&gt;0,N629*100/M629,0)</f>
        <v>30.222222222222221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442125</v>
      </c>
      <c r="M631" s="93">
        <f t="shared" ca="1" si="266"/>
        <v>442125</v>
      </c>
      <c r="N631" s="93">
        <f t="shared" si="266"/>
        <v>133620</v>
      </c>
      <c r="O631" s="93">
        <f t="shared" ca="1" si="264"/>
        <v>30.222222222222221</v>
      </c>
      <c r="P631" s="93">
        <f t="shared" ca="1" si="265"/>
        <v>30.222222222222221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442125</v>
      </c>
      <c r="M632" s="497">
        <f t="shared" ca="1" si="267"/>
        <v>442125</v>
      </c>
      <c r="N632" s="497">
        <f t="shared" si="267"/>
        <v>133620</v>
      </c>
      <c r="O632" s="497">
        <f t="shared" ca="1" si="264"/>
        <v>30.222222222222221</v>
      </c>
      <c r="P632" s="497">
        <f t="shared" ca="1" si="265"/>
        <v>30.222222222222221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IFERROR(__xludf.DUMMYFUNCTION("IMPORTRANGE(""https://docs.google.com/spreadsheets/d/1QqKyyYR6Q21VydFLVH3TRQUabQu_ym0Zz7PgGX0-kHA/edit?usp=sharing"",""แผน!HN42"")"),442125)</f>
        <v>442125</v>
      </c>
      <c r="M634" s="93">
        <f ca="1">L634</f>
        <v>442125</v>
      </c>
      <c r="N634" s="93">
        <f>N635+N636+N637+N638</f>
        <v>133620</v>
      </c>
      <c r="O634" s="93">
        <f t="shared" ca="1" si="264"/>
        <v>30.222222222222221</v>
      </c>
      <c r="P634" s="93">
        <f t="shared" ca="1" si="265"/>
        <v>30.222222222222221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65000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68620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IFERROR(__xludf.DUMMYFUNCTION("IMPORTRANGE(""https://docs.google.com/spreadsheets/d/1XWAQStnk-4SwqDmLtmXYiTMKHgktTP8We1SCoS47DrQ/edit?usp=sharing"",""จัดที่ดิน!AS42"")"),66)</f>
        <v>66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IFERROR(__xludf.DUMMYFUNCTION("IMPORTRANGE(""https://docs.google.com/spreadsheets/d/1XWAQStnk-4SwqDmLtmXYiTMKHgktTP8We1SCoS47DrQ/edit?usp=sharing"",""จัดที่ดิน!AT42"")"),35.58)</f>
        <v>35.58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IFERROR(__xludf.DUMMYFUNCTION("IMPORTRANGE(""https://docs.google.com/spreadsheets/d/1QqKyyYR6Q21VydFLVH3TRQUabQu_ym0Zz7PgGX0-kHA/edit?usp=sharing"",""แผน!HS42"")"),210)</f>
        <v>210</v>
      </c>
      <c r="J647" s="270">
        <f ca="1">IFERROR(__xludf.DUMMYFUNCTION("IMPORTRANGE(""https://docs.google.com/spreadsheets/d/1XWAQStnk-4SwqDmLtmXYiTMKHgktTP8We1SCoS47DrQ/edit?usp=sharing"",""จัดที่ดิน!AU42"")"),140)</f>
        <v>140</v>
      </c>
      <c r="K647" s="163">
        <f t="shared" ca="1" si="271"/>
        <v>66.666666666666671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IFERROR(__xludf.DUMMYFUNCTION("IMPORTRANGE(""https://docs.google.com/spreadsheets/d/1XWAQStnk-4SwqDmLtmXYiTMKHgktTP8We1SCoS47DrQ/edit?usp=sharing"",""จัดที่ดิน!AV42"")"),68.47)</f>
        <v>68.47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IFERROR(__xludf.DUMMYFUNCTION("IMPORTRANGE(""https://docs.google.com/spreadsheets/d/1QqKyyYR6Q21VydFLVH3TRQUabQu_ym0Zz7PgGX0-kHA/edit?usp=sharing"",""แผน!HS42"")"),210)</f>
        <v>210</v>
      </c>
      <c r="J649" s="270">
        <f ca="1">IFERROR(__xludf.DUMMYFUNCTION("IMPORTRANGE(""https://docs.google.com/spreadsheets/d/1XWAQStnk-4SwqDmLtmXYiTMKHgktTP8We1SCoS47DrQ/edit?usp=sharing"",""จัดที่ดิน!AW42"")"),139)</f>
        <v>139</v>
      </c>
      <c r="K649" s="163">
        <f t="shared" ca="1" si="271"/>
        <v>66.19047619047619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IFERROR(__xludf.DUMMYFUNCTION("IMPORTRANGE(""https://docs.google.com/spreadsheets/d/1XWAQStnk-4SwqDmLtmXYiTMKHgktTP8We1SCoS47DrQ/edit?usp=sharing"",""จัดที่ดิน!AX42"")"),67.28)</f>
        <v>67.28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IFERROR(__xludf.DUMMYFUNCTION("IMPORTRANGE(""https://docs.google.com/spreadsheets/d/1QqKyyYR6Q21VydFLVH3TRQUabQu_ym0Zz7PgGX0-kHA/edit?usp=sharing"",""แผน!HS42"")"),210)</f>
        <v>210</v>
      </c>
      <c r="J651" s="270">
        <f ca="1">IFERROR(__xludf.DUMMYFUNCTION("IMPORTRANGE(""https://docs.google.com/spreadsheets/d/1XWAQStnk-4SwqDmLtmXYiTMKHgktTP8We1SCoS47DrQ/edit?usp=sharing"",""จัดที่ดิน!AY42"")"),139)</f>
        <v>139</v>
      </c>
      <c r="K651" s="163">
        <f t="shared" ca="1" si="271"/>
        <v>66.19047619047619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IFERROR(__xludf.DUMMYFUNCTION("IMPORTRANGE(""https://docs.google.com/spreadsheets/d/1XWAQStnk-4SwqDmLtmXYiTMKHgktTP8We1SCoS47DrQ/edit?usp=sharing"",""จัดที่ดิน!AZ42"")"),67.28)</f>
        <v>67.28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12600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12600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12600</v>
      </c>
      <c r="M658" s="497">
        <f t="shared" ca="1" si="277"/>
        <v>12600</v>
      </c>
      <c r="N658" s="497">
        <f t="shared" si="277"/>
        <v>12600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IFERROR(__xludf.DUMMYFUNCTION("IMPORTRANGE(""https://docs.google.com/spreadsheets/d/1QqKyyYR6Q21VydFLVH3TRQUabQu_ym0Zz7PgGX0-kHA/edit?usp=sharing"",""แผน!HV42"")"),12600)</f>
        <v>12600</v>
      </c>
      <c r="M660" s="93">
        <f ca="1">L660</f>
        <v>12600</v>
      </c>
      <c r="N660" s="93">
        <f>N661+N662+N663+N664</f>
        <v>12600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12600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IFERROR(__xludf.DUMMYFUNCTION("IMPORTRANGE(""https://docs.google.com/spreadsheets/d/1QqKyyYR6Q21VydFLVH3TRQUabQu_ym0Zz7PgGX0-kHA/edit?usp=sharing"",""แผน!IA42"")"),50)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107</v>
      </c>
      <c r="K672" s="497">
        <f t="shared" ref="K672:K675" ca="1" si="281">IF(I$669&gt;0,J672*100/I$669,0)</f>
        <v>214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107</v>
      </c>
      <c r="K673" s="497">
        <f t="shared" ca="1" si="281"/>
        <v>214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107</v>
      </c>
      <c r="K674" s="497">
        <f t="shared" ca="1" si="281"/>
        <v>214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IFERROR(__xludf.DUMMYFUNCTION("IMPORTRANGE(""https://docs.google.com/spreadsheets/d/1QqKyyYR6Q21VydFLVH3TRQUabQu_ym0Zz7PgGX0-kHA/edit?usp=sharing"",""แผน!IB42"")"),0)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1980</v>
      </c>
      <c r="M685" s="195">
        <f t="shared" ca="1" si="282"/>
        <v>1980</v>
      </c>
      <c r="N685" s="195">
        <f t="shared" si="282"/>
        <v>360</v>
      </c>
      <c r="O685" s="195">
        <f t="shared" ref="O685:O688" ca="1" si="283">IF(L685&gt;0,N685*100/L685,0)</f>
        <v>18.181818181818183</v>
      </c>
      <c r="P685" s="195">
        <f t="shared" ref="P685:P688" ca="1" si="284">IF(M685&gt;0,N685*100/M685,0)</f>
        <v>18.181818181818183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1980</v>
      </c>
      <c r="M687" s="93">
        <f t="shared" ca="1" si="285"/>
        <v>1980</v>
      </c>
      <c r="N687" s="93">
        <f t="shared" si="285"/>
        <v>360</v>
      </c>
      <c r="O687" s="93">
        <f t="shared" ca="1" si="283"/>
        <v>18.181818181818183</v>
      </c>
      <c r="P687" s="93">
        <f t="shared" ca="1" si="284"/>
        <v>18.181818181818183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1980</v>
      </c>
      <c r="M688" s="497">
        <f t="shared" ca="1" si="286"/>
        <v>1980</v>
      </c>
      <c r="N688" s="497">
        <f t="shared" si="286"/>
        <v>360</v>
      </c>
      <c r="O688" s="497">
        <f t="shared" ca="1" si="283"/>
        <v>18.181818181818183</v>
      </c>
      <c r="P688" s="497">
        <f t="shared" ca="1" si="284"/>
        <v>18.181818181818183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IFERROR(__xludf.DUMMYFUNCTION("IMPORTRANGE(""https://docs.google.com/spreadsheets/d/1QqKyyYR6Q21VydFLVH3TRQUabQu_ym0Zz7PgGX0-kHA/edit?usp=sharing"",""แผน!HW42"")"),1980)</f>
        <v>1980</v>
      </c>
      <c r="M690" s="93">
        <f ca="1">L690</f>
        <v>1980</v>
      </c>
      <c r="N690" s="93">
        <f>N691+N692+N693+N694</f>
        <v>360</v>
      </c>
      <c r="O690" s="93">
        <f ca="1">IF(L690&gt;0,N690*100/L690,0)</f>
        <v>18.181818181818183</v>
      </c>
      <c r="P690" s="93">
        <f ca="1">IF(M690&gt;0,N690*100/M690,0)</f>
        <v>18.181818181818183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360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IFERROR(__xludf.DUMMYFUNCTION("IMPORTRANGE(""https://docs.google.com/spreadsheets/d/1QqKyyYR6Q21VydFLVH3TRQUabQu_ym0Zz7PgGX0-kHA/edit?usp=sharing"",""แผน!IC42"")"),0)</f>
        <v>0</v>
      </c>
      <c r="J699" s="270">
        <f ca="1">IFERROR(__xludf.DUMMYFUNCTION("IMPORTRANGE(""https://docs.google.com/spreadsheets/d/1XWAQStnk-4SwqDmLtmXYiTMKHgktTP8We1SCoS47DrQ/edit?usp=sharing"",""จัดที่ดิน!BB42"")"),0)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IFERROR(__xludf.DUMMYFUNCTION("IMPORTRANGE(""https://docs.google.com/spreadsheets/d/1QqKyyYR6Q21VydFLVH3TRQUabQu_ym0Zz7PgGX0-kHA/edit?usp=sharing"",""แผน!ID42"")"),0)</f>
        <v>0</v>
      </c>
      <c r="J700" s="270">
        <f ca="1">IFERROR(__xludf.DUMMYFUNCTION("IMPORTRANGE(""https://docs.google.com/spreadsheets/d/1XWAQStnk-4SwqDmLtmXYiTMKHgktTP8We1SCoS47DrQ/edit?usp=sharing"",""จัดที่ดิน!BD42"")"),0)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IFERROR(__xludf.DUMMYFUNCTION("IMPORTRANGE(""https://docs.google.com/spreadsheets/d/1QqKyyYR6Q21VydFLVH3TRQUabQu_ym0Zz7PgGX0-kHA/edit?usp=sharing"",""แผน!IE42"")"),14)</f>
        <v>14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IFERROR(__xludf.DUMMYFUNCTION("IMPORTRANGE(""https://docs.google.com/spreadsheets/d/1QqKyyYR6Q21VydFLVH3TRQUabQu_ym0Zz7PgGX0-kHA/edit?usp=sharing"",""แผน!IF42"")"),14)</f>
        <v>14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IFERROR(__xludf.DUMMYFUNCTION("IMPORTRANGE(""https://docs.google.com/spreadsheets/d/1QqKyyYR6Q21VydFLVH3TRQUabQu_ym0Zz7PgGX0-kHA/edit?usp=sharing"",""แผน!IH42"")"),14)</f>
        <v>14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1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14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IFERROR(__xludf.DUMMYFUNCTION("IMPORTRANGE(""https://docs.google.com/spreadsheets/d/1QqKyyYR6Q21VydFLVH3TRQUabQu_ym0Zz7PgGX0-kHA/edit?usp=sharing"",""แผน!II42"")"),14)</f>
        <v>14</v>
      </c>
      <c r="J720" s="270">
        <f ca="1">IFERROR(__xludf.DUMMYFUNCTION("IMPORTRANGE(""https://docs.google.com/spreadsheets/d/1XWAQStnk-4SwqDmLtmXYiTMKHgktTP8We1SCoS47DrQ/edit?usp=sharing"",""จัดที่ดิน!BH42"")"),0)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IFERROR(__xludf.DUMMYFUNCTION("IMPORTRANGE(""https://docs.google.com/spreadsheets/d/1QqKyyYR6Q21VydFLVH3TRQUabQu_ym0Zz7PgGX0-kHA/edit?usp=sharing"",""แผน!IJ42"")"),0)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IFERROR(__xludf.DUMMYFUNCTION("IMPORTRANGE(""https://docs.google.com/spreadsheets/d/1QqKyyYR6Q21VydFLVH3TRQUabQu_ym0Zz7PgGX0-kHA/edit?usp=sharing"",""แผน!IK42"")"),0)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IFERROR(__xludf.DUMMYFUNCTION("IMPORTRANGE(""https://docs.google.com/spreadsheets/d/1QqKyyYR6Q21VydFLVH3TRQUabQu_ym0Zz7PgGX0-kHA/edit?usp=sharing"",""แผน!IL42"")"),0)</f>
        <v>0</v>
      </c>
      <c r="J723" s="270">
        <f ca="1">IFERROR(__xludf.DUMMYFUNCTION("IMPORTRANGE(""https://docs.google.com/spreadsheets/d/1XWAQStnk-4SwqDmLtmXYiTMKHgktTP8We1SCoS47DrQ/edit?usp=sharing"",""จัดที่ดิน!BM42"")"),0)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IFERROR(__xludf.DUMMYFUNCTION("IMPORTRANGE(""https://docs.google.com/spreadsheets/d/1XWAQStnk-4SwqDmLtmXYiTMKHgktTP8We1SCoS47DrQ/edit?usp=sharing"",""จัดที่ดิน!BN42"")"),0)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IFERROR(__xludf.DUMMYFUNCTION("IMPORTRANGE(""https://docs.google.com/spreadsheets/d/1QqKyyYR6Q21VydFLVH3TRQUabQu_ym0Zz7PgGX0-kHA/edit?usp=sharing"",""แผน!IM42"")"),0)</f>
        <v>0</v>
      </c>
      <c r="J725" s="270">
        <f ca="1">IFERROR(__xludf.DUMMYFUNCTION("IMPORTRANGE(""https://docs.google.com/spreadsheets/d/1XWAQStnk-4SwqDmLtmXYiTMKHgktTP8We1SCoS47DrQ/edit?usp=sharing"",""จัดที่ดิน!BO42"")"),0)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IFERROR(__xludf.DUMMYFUNCTION("IMPORTRANGE(""https://docs.google.com/spreadsheets/d/1QqKyyYR6Q21VydFLVH3TRQUabQu_ym0Zz7PgGX0-kHA/edit?usp=sharing"",""แผน!IN42"")"),0)</f>
        <v>0</v>
      </c>
      <c r="J726" s="270">
        <f ca="1">IFERROR(__xludf.DUMMYFUNCTION("IMPORTRANGE(""https://docs.google.com/spreadsheets/d/1XWAQStnk-4SwqDmLtmXYiTMKHgktTP8We1SCoS47DrQ/edit?usp=sharing"",""จัดที่ดิน!BR42"")"),0)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IFERROR(__xludf.DUMMYFUNCTION("IMPORTRANGE(""https://docs.google.com/spreadsheets/d/1QqKyyYR6Q21VydFLVH3TRQUabQu_ym0Zz7PgGX0-kHA/edit?usp=sharing"",""แผน!IO42"")"),0)</f>
        <v>0</v>
      </c>
      <c r="J728" s="270">
        <f ca="1">IFERROR(__xludf.DUMMYFUNCTION("IMPORTRANGE(""https://docs.google.com/spreadsheets/d/1XWAQStnk-4SwqDmLtmXYiTMKHgktTP8We1SCoS47DrQ/edit?usp=sharing"",""จัดที่ดิน!BT42"")"),0)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19000</v>
      </c>
      <c r="J785" s="805">
        <f t="shared" ca="1" si="318"/>
        <v>16452</v>
      </c>
      <c r="K785" s="806">
        <f ca="1">IF(I785&gt;0,J785*100/I785,0)</f>
        <v>86.589473684210532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157503.66</v>
      </c>
      <c r="O786" s="195">
        <f t="shared" ref="O786:O791" ca="1" si="320">IF(L786&gt;0,N786*100/L786,0)</f>
        <v>59.087507503001198</v>
      </c>
      <c r="P786" s="195">
        <f t="shared" ref="P786:P791" ca="1" si="321">IF(M786&gt;0,N786*100/M786,0)</f>
        <v>59.087507503001198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157503.66</v>
      </c>
      <c r="O788" s="93">
        <f t="shared" ca="1" si="320"/>
        <v>59.087507503001198</v>
      </c>
      <c r="P788" s="93">
        <f t="shared" ca="1" si="321"/>
        <v>59.087507503001198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157503.66</v>
      </c>
      <c r="O789" s="497">
        <f t="shared" ca="1" si="320"/>
        <v>59.087507503001198</v>
      </c>
      <c r="P789" s="497">
        <f t="shared" ca="1" si="321"/>
        <v>59.087507503001198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IFERROR(__xludf.DUMMYFUNCTION("IMPORTRANGE(""https://docs.google.com/spreadsheets/d/1QqKyyYR6Q21VydFLVH3TRQUabQu_ym0Zz7PgGX0-kHA/edit?usp=sharing"",""แผน!JJ42"")"),266560)</f>
        <v>266560</v>
      </c>
      <c r="M791" s="93">
        <f ca="1">L791</f>
        <v>266560</v>
      </c>
      <c r="N791" s="93">
        <f>N792+N793+N794+N795</f>
        <v>157503.66</v>
      </c>
      <c r="O791" s="93">
        <f t="shared" ca="1" si="320"/>
        <v>59.087507503001198</v>
      </c>
      <c r="P791" s="93">
        <f t="shared" ca="1" si="321"/>
        <v>59.087507503001198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24300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133203.66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IFERROR(__xludf.DUMMYFUNCTION("IMPORTRANGE(""https://docs.google.com/spreadsheets/d/1MaWodYyGHDf7siQLGxnXhG4mBNTNIuy296niS2xXulU/edit?usp=sharing"",""RTK!H42"")"),117)</f>
        <v>117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IFERROR(__xludf.DUMMYFUNCTION("IMPORTRANGE(""https://docs.google.com/spreadsheets/d/1MaWodYyGHDf7siQLGxnXhG4mBNTNIuy296niS2xXulU/edit?usp=sharing"",""RTK!G42"")"),4000)</f>
        <v>4000</v>
      </c>
      <c r="J801" s="820">
        <f ca="1">IFERROR(__xludf.DUMMYFUNCTION("IMPORTRANGE(""https://docs.google.com/spreadsheets/d/1MaWodYyGHDf7siQLGxnXhG4mBNTNIuy296niS2xXulU/edit?usp=sharing"",""RTK!I42"")"),1433)</f>
        <v>1433</v>
      </c>
      <c r="K801" s="821">
        <f ca="1">IF(I801&gt;0,J801*100/I801,0)</f>
        <v>35.825000000000003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IFERROR(__xludf.DUMMYFUNCTION("IMPORTRANGE(""https://docs.google.com/spreadsheets/d/1MaWodYyGHDf7siQLGxnXhG4mBNTNIuy296niS2xXulU/edit?usp=sharing"",""RTK!L42"")"),1213)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IFERROR(__xludf.DUMMYFUNCTION("IMPORTRANGE(""https://docs.google.com/spreadsheets/d/1MaWodYyGHDf7siQLGxnXhG4mBNTNIuy296niS2xXulU/edit?usp=sharing"",""RTK!K42"")"),15000)</f>
        <v>15000</v>
      </c>
      <c r="J803" s="820">
        <f ca="1">IFERROR(__xludf.DUMMYFUNCTION("IMPORTRANGE(""https://docs.google.com/spreadsheets/d/1MaWodYyGHDf7siQLGxnXhG4mBNTNIuy296niS2xXulU/edit?usp=sharing"",""RTK!M42"")"),15019)</f>
        <v>15019</v>
      </c>
      <c r="K803" s="821">
        <f t="shared" ref="K803:K804" ca="1" si="327">IF(I803&gt;0,J803*100/I803,0)</f>
        <v>100.12666666666667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270">
        <f ca="1">IFERROR(__xludf.DUMMYFUNCTION("IMPORTRANGE(""https://docs.google.com/spreadsheets/d/19vJNZY_5yjcGF2XGBMNZRCAIB0Kwfpjp8YEOfu-bneM/edit?usp=sharing"",""งานกองทุน!F42"")"),2753578.51)</f>
        <v>2753578.51</v>
      </c>
      <c r="K821" s="497">
        <f t="shared" ref="K821:K828" ca="1" si="336">IF(I821&gt;0,J821*100/I821,0)</f>
        <v>52.236827689911294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IFERROR(__xludf.DUMMYFUNCTION("IMPORTRANGE(""https://docs.google.com/spreadsheets/d/19vJNZY_5yjcGF2XGBMNZRCAIB0Kwfpjp8YEOfu-bneM/edit?usp=sharing"",""งานกองทุน!C42"")"),460)</f>
        <v>460</v>
      </c>
      <c r="J822" s="270">
        <f ca="1">IFERROR(__xludf.DUMMYFUNCTION("IMPORTRANGE(""https://docs.google.com/spreadsheets/d/19vJNZY_5yjcGF2XGBMNZRCAIB0Kwfpjp8YEOfu-bneM/edit?usp=sharing"",""งานกองทุน!E42"")"),248)</f>
        <v>248</v>
      </c>
      <c r="K822" s="497">
        <f t="shared" ca="1" si="336"/>
        <v>53.913043478260867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270">
        <f ca="1">IFERROR(__xludf.DUMMYFUNCTION("IMPORTRANGE(""https://docs.google.com/spreadsheets/d/19vJNZY_5yjcGF2XGBMNZRCAIB0Kwfpjp8YEOfu-bneM/edit?usp=sharing"",""งานกองทุน!K42"")"),3471920.74)</f>
        <v>3471920.74</v>
      </c>
      <c r="K823" s="497">
        <f t="shared" ca="1" si="336"/>
        <v>10.606653203942146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IFERROR(__xludf.DUMMYFUNCTION("IMPORTRANGE(""https://docs.google.com/spreadsheets/d/19vJNZY_5yjcGF2XGBMNZRCAIB0Kwfpjp8YEOfu-bneM/edit?usp=sharing"",""งานกองทุน!H42"")"),1616)</f>
        <v>1616</v>
      </c>
      <c r="J824" s="270">
        <f ca="1">IFERROR(__xludf.DUMMYFUNCTION("IMPORTRANGE(""https://docs.google.com/spreadsheets/d/19vJNZY_5yjcGF2XGBMNZRCAIB0Kwfpjp8YEOfu-bneM/edit?usp=sharing"",""งานกองทุน!J42"")"),793)</f>
        <v>793</v>
      </c>
      <c r="K824" s="497">
        <f t="shared" ca="1" si="336"/>
        <v>49.071782178217823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IFERROR(__xludf.DUMMYFUNCTION("IMPORTRANGE(""https://docs.google.com/spreadsheets/d/19vJNZY_5yjcGF2XGBMNZRCAIB0Kwfpjp8YEOfu-bneM/edit?usp=sharing"",""งานกองทุน!N42"")"),0)</f>
        <v>0</v>
      </c>
      <c r="J825" s="270">
        <f ca="1">IFERROR(__xludf.DUMMYFUNCTION("IMPORTRANGE(""https://docs.google.com/spreadsheets/d/19vJNZY_5yjcGF2XGBMNZRCAIB0Kwfpjp8YEOfu-bneM/edit?usp=sharing"",""งานกองทุน!P42"")"),141115.99)</f>
        <v>141115.99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IFERROR(__xludf.DUMMYFUNCTION("IMPORTRANGE(""https://docs.google.com/spreadsheets/d/19vJNZY_5yjcGF2XGBMNZRCAIB0Kwfpjp8YEOfu-bneM/edit?usp=sharing"",""งานกองทุน!M42"")"),0)</f>
        <v>0</v>
      </c>
      <c r="J826" s="270">
        <f ca="1">IFERROR(__xludf.DUMMYFUNCTION("IMPORTRANGE(""https://docs.google.com/spreadsheets/d/19vJNZY_5yjcGF2XGBMNZRCAIB0Kwfpjp8YEOfu-bneM/edit?usp=sharing"",""งานกองทุน!O42"")"),12)</f>
        <v>12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IFERROR(__xludf.DUMMYFUNCTION("IMPORTRANGE(""https://docs.google.com/spreadsheets/d/19vJNZY_5yjcGF2XGBMNZRCAIB0Kwfpjp8YEOfu-bneM/edit?usp=sharing"",""งานกองทุน!S42"")"),8280000)</f>
        <v>8280000</v>
      </c>
      <c r="J827" s="270">
        <f ca="1">IFERROR(__xludf.DUMMYFUNCTION("IMPORTRANGE(""https://docs.google.com/spreadsheets/d/19vJNZY_5yjcGF2XGBMNZRCAIB0Kwfpjp8YEOfu-bneM/edit?usp=sharing"",""งานกองทุน!U42"")"),0)</f>
        <v>0</v>
      </c>
      <c r="K827" s="497">
        <f t="shared" ca="1" si="336"/>
        <v>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IFERROR(__xludf.DUMMYFUNCTION("IMPORTRANGE(""https://docs.google.com/spreadsheets/d/19vJNZY_5yjcGF2XGBMNZRCAIB0Kwfpjp8YEOfu-bneM/edit?usp=sharing"",""งานกองทุน!R42"")"),331)</f>
        <v>331</v>
      </c>
      <c r="J828" s="504">
        <f ca="1">IFERROR(__xludf.DUMMYFUNCTION("IMPORTRANGE(""https://docs.google.com/spreadsheets/d/19vJNZY_5yjcGF2XGBMNZRCAIB0Kwfpjp8YEOfu-bneM/edit?usp=sharing"",""งานกองทุน!T42"")"),0)</f>
        <v>0</v>
      </c>
      <c r="K828" s="505">
        <f t="shared" ca="1" si="336"/>
        <v>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CA17-052E-4571-87AC-11220A7198B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6071332</v>
      </c>
      <c r="M8" s="22">
        <f t="shared" ca="1" si="0"/>
        <v>5555200</v>
      </c>
      <c r="N8" s="22">
        <f t="shared" ca="1" si="0"/>
        <v>3385987.03</v>
      </c>
      <c r="O8" s="22">
        <f t="shared" ref="O8:O16" ca="1" si="1">IF(L8&gt;0,N8*100/L8,0)</f>
        <v>55.77008521359069</v>
      </c>
      <c r="P8" s="22">
        <f t="shared" ref="P8:P16" ca="1" si="2">IF(M8&gt;0,N8*100/M8,0)</f>
        <v>60.951667446716591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6071332</v>
      </c>
      <c r="M10" s="30">
        <f t="shared" ca="1" si="3"/>
        <v>5555200</v>
      </c>
      <c r="N10" s="30">
        <f t="shared" ca="1" si="3"/>
        <v>3385987.03</v>
      </c>
      <c r="O10" s="30">
        <f t="shared" ca="1" si="1"/>
        <v>55.77008521359069</v>
      </c>
      <c r="P10" s="30">
        <f t="shared" ca="1" si="2"/>
        <v>60.951667446716591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5908332</v>
      </c>
      <c r="M11" s="497">
        <f t="shared" ca="1" si="4"/>
        <v>5392200</v>
      </c>
      <c r="N11" s="497">
        <f t="shared" ca="1" si="4"/>
        <v>3223487.03</v>
      </c>
      <c r="O11" s="497">
        <f t="shared" ca="1" si="1"/>
        <v>54.558325936998799</v>
      </c>
      <c r="P11" s="497">
        <f t="shared" ca="1" si="2"/>
        <v>59.780553948295683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5908332</v>
      </c>
      <c r="M13" s="93">
        <f t="shared" ca="1" si="5"/>
        <v>5392200</v>
      </c>
      <c r="N13" s="93">
        <f t="shared" ca="1" si="5"/>
        <v>3223487.03</v>
      </c>
      <c r="O13" s="93">
        <f t="shared" ca="1" si="1"/>
        <v>54.558325936998799</v>
      </c>
      <c r="P13" s="93">
        <f t="shared" ca="1" si="2"/>
        <v>59.780553948295683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163000</v>
      </c>
      <c r="M14" s="497">
        <f t="shared" ca="1" si="6"/>
        <v>163000</v>
      </c>
      <c r="N14" s="497">
        <f t="shared" ca="1" si="6"/>
        <v>162500</v>
      </c>
      <c r="O14" s="497">
        <f t="shared" ca="1" si="1"/>
        <v>99.693251533742327</v>
      </c>
      <c r="P14" s="497">
        <f t="shared" ca="1" si="2"/>
        <v>99.693251533742327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163000</v>
      </c>
      <c r="M16" s="52">
        <f t="shared" ca="1" si="7"/>
        <v>163000</v>
      </c>
      <c r="N16" s="52">
        <f t="shared" ca="1" si="7"/>
        <v>162500</v>
      </c>
      <c r="O16" s="52">
        <f t="shared" ca="1" si="1"/>
        <v>99.693251533742327</v>
      </c>
      <c r="P16" s="52">
        <f t="shared" ca="1" si="2"/>
        <v>99.693251533742327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3941620</v>
      </c>
      <c r="M18" s="22">
        <f t="shared" ca="1" si="8"/>
        <v>3425488</v>
      </c>
      <c r="N18" s="22">
        <f t="shared" ca="1" si="8"/>
        <v>2429818.77</v>
      </c>
      <c r="O18" s="22">
        <f t="shared" ref="O18:O26" ca="1" si="9">IF(L18&gt;0,N18*100/L18,0)</f>
        <v>61.64518066175836</v>
      </c>
      <c r="P18" s="22">
        <f t="shared" ref="P18:P26" ca="1" si="10">IF(M18&gt;0,N18*100/M18,0)</f>
        <v>70.9335069922884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3941620</v>
      </c>
      <c r="M20" s="30">
        <f t="shared" ca="1" si="11"/>
        <v>3425488</v>
      </c>
      <c r="N20" s="30">
        <f t="shared" ca="1" si="11"/>
        <v>2429818.77</v>
      </c>
      <c r="O20" s="30">
        <f t="shared" ca="1" si="9"/>
        <v>61.64518066175836</v>
      </c>
      <c r="P20" s="30">
        <f t="shared" ca="1" si="10"/>
        <v>70.9335069922884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3778620</v>
      </c>
      <c r="M21" s="497">
        <f t="shared" ca="1" si="12"/>
        <v>3262488</v>
      </c>
      <c r="N21" s="497">
        <f t="shared" ca="1" si="12"/>
        <v>2267318.77</v>
      </c>
      <c r="O21" s="497">
        <f t="shared" ca="1" si="9"/>
        <v>60.00388422228221</v>
      </c>
      <c r="P21" s="497">
        <f t="shared" ca="1" si="10"/>
        <v>69.496616386021955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3778620</v>
      </c>
      <c r="M23" s="93">
        <f t="shared" ca="1" si="13"/>
        <v>3262488</v>
      </c>
      <c r="N23" s="93">
        <f t="shared" ca="1" si="13"/>
        <v>2267318.77</v>
      </c>
      <c r="O23" s="93">
        <f t="shared" ca="1" si="9"/>
        <v>60.00388422228221</v>
      </c>
      <c r="P23" s="93">
        <f t="shared" ca="1" si="10"/>
        <v>69.496616386021955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163000</v>
      </c>
      <c r="M24" s="497">
        <f t="shared" ca="1" si="14"/>
        <v>163000</v>
      </c>
      <c r="N24" s="497">
        <f t="shared" ca="1" si="14"/>
        <v>162500</v>
      </c>
      <c r="O24" s="497">
        <f t="shared" ca="1" si="9"/>
        <v>99.693251533742327</v>
      </c>
      <c r="P24" s="497">
        <f t="shared" ca="1" si="10"/>
        <v>99.693251533742327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163000</v>
      </c>
      <c r="M26" s="52">
        <f t="shared" ca="1" si="15"/>
        <v>163000</v>
      </c>
      <c r="N26" s="52">
        <f t="shared" ca="1" si="15"/>
        <v>162500</v>
      </c>
      <c r="O26" s="52">
        <f t="shared" ca="1" si="9"/>
        <v>99.693251533742327</v>
      </c>
      <c r="P26" s="52">
        <f t="shared" ca="1" si="10"/>
        <v>99.693251533742327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2129712</v>
      </c>
      <c r="M28" s="22">
        <f t="shared" ca="1" si="16"/>
        <v>2129712</v>
      </c>
      <c r="N28" s="22">
        <f t="shared" si="16"/>
        <v>956168.25999999989</v>
      </c>
      <c r="O28" s="22">
        <f t="shared" ref="O28:O37" ca="1" si="17">IF(L28&gt;0,N28*100/L28,0)</f>
        <v>44.896599164581872</v>
      </c>
      <c r="P28" s="22">
        <f t="shared" ref="P28:P37" ca="1" si="18">IF(M28&gt;0,N28*100/M28,0)</f>
        <v>44.896599164581872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2129712</v>
      </c>
      <c r="M30" s="30">
        <f t="shared" ca="1" si="19"/>
        <v>2129712</v>
      </c>
      <c r="N30" s="30">
        <f t="shared" si="19"/>
        <v>956168.25999999989</v>
      </c>
      <c r="O30" s="30">
        <f t="shared" ca="1" si="17"/>
        <v>44.896599164581872</v>
      </c>
      <c r="P30" s="30">
        <f t="shared" ca="1" si="18"/>
        <v>44.896599164581872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2129712</v>
      </c>
      <c r="M31" s="497">
        <f t="shared" ca="1" si="20"/>
        <v>2129712</v>
      </c>
      <c r="N31" s="497">
        <f t="shared" si="20"/>
        <v>956168.25999999989</v>
      </c>
      <c r="O31" s="497">
        <f t="shared" ca="1" si="17"/>
        <v>44.896599164581872</v>
      </c>
      <c r="P31" s="497">
        <f t="shared" ca="1" si="18"/>
        <v>44.896599164581872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2129712</v>
      </c>
      <c r="M33" s="93">
        <f t="shared" ca="1" si="21"/>
        <v>2129712</v>
      </c>
      <c r="N33" s="93">
        <f t="shared" si="21"/>
        <v>956168.25999999989</v>
      </c>
      <c r="O33" s="93">
        <f t="shared" ca="1" si="17"/>
        <v>44.896599164581872</v>
      </c>
      <c r="P33" s="93">
        <f t="shared" ca="1" si="18"/>
        <v>44.896599164581872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3941620</v>
      </c>
      <c r="M37" s="870">
        <f t="shared" ca="1" si="24"/>
        <v>3425488</v>
      </c>
      <c r="N37" s="870">
        <f t="shared" ca="1" si="24"/>
        <v>2429818.77</v>
      </c>
      <c r="O37" s="870">
        <f t="shared" ca="1" si="17"/>
        <v>61.64518066175836</v>
      </c>
      <c r="P37" s="870">
        <f t="shared" ca="1" si="18"/>
        <v>70.9335069922884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657250</v>
      </c>
      <c r="M41" s="85">
        <f t="shared" ca="1" si="25"/>
        <v>672493</v>
      </c>
      <c r="N41" s="85">
        <f t="shared" ca="1" si="25"/>
        <v>353593</v>
      </c>
      <c r="O41" s="85">
        <f t="shared" ref="O41:O49" ca="1" si="26">IF(L41&gt;0,N41*100/L41,0)</f>
        <v>53.798858881704071</v>
      </c>
      <c r="P41" s="85">
        <f t="shared" ref="P41:P49" ca="1" si="27">IF(M41&gt;0,N41*100/M41,0)</f>
        <v>52.579432053567842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657250</v>
      </c>
      <c r="M43" s="92">
        <f t="shared" ca="1" si="28"/>
        <v>672493</v>
      </c>
      <c r="N43" s="92">
        <f t="shared" ca="1" si="28"/>
        <v>353593</v>
      </c>
      <c r="O43" s="92">
        <f t="shared" ca="1" si="26"/>
        <v>53.798858881704071</v>
      </c>
      <c r="P43" s="92">
        <f t="shared" ca="1" si="27"/>
        <v>52.579432053567842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657250</v>
      </c>
      <c r="M44" s="497">
        <f t="shared" ca="1" si="29"/>
        <v>672493</v>
      </c>
      <c r="N44" s="497">
        <f t="shared" ca="1" si="29"/>
        <v>353593</v>
      </c>
      <c r="O44" s="497">
        <f t="shared" ca="1" si="26"/>
        <v>53.798858881704071</v>
      </c>
      <c r="P44" s="497">
        <f t="shared" ca="1" si="27"/>
        <v>52.579432053567842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IFERROR(__xludf.DUMMYFUNCTION("IMPORTRANGE(""https://docs.google.com/spreadsheets/d/1MeEWN-I1oV_STSDYn1IFDPWt_1FKiwhDph83XaGc0o0/edit?usp=sharing"",""งบพรบ!M43"")"),657250)</f>
        <v>657250</v>
      </c>
      <c r="M46" s="93">
        <f ca="1">IFERROR(__xludf.DUMMYFUNCTION("IMPORTRANGE(""https://docs.google.com/spreadsheets/d/1MeEWN-I1oV_STSDYn1IFDPWt_1FKiwhDph83XaGc0o0/edit?usp=sharing"",""งบพรบ!R43"")"),672493)</f>
        <v>672493</v>
      </c>
      <c r="N46" s="93">
        <f ca="1">IFERROR(__xludf.DUMMYFUNCTION("IMPORTRANGE(""https://docs.google.com/spreadsheets/d/1MeEWN-I1oV_STSDYn1IFDPWt_1FKiwhDph83XaGc0o0/edit?usp=sharing"",""งบพรบ!T43"")"),353593)</f>
        <v>353593</v>
      </c>
      <c r="O46" s="93">
        <f t="shared" ca="1" si="26"/>
        <v>53.798858881704071</v>
      </c>
      <c r="P46" s="93">
        <f t="shared" ca="1" si="27"/>
        <v>52.579432053567842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IFERROR(__xludf.DUMMYFUNCTION("IMPORTRANGE(""https://docs.google.com/spreadsheets/d/1MeEWN-I1oV_STSDYn1IFDPWt_1FKiwhDph83XaGc0o0/edit?usp=sharing"",""งบพรบ!P43"")"),0)</f>
        <v>0</v>
      </c>
      <c r="M49" s="52">
        <f ca="1">IFERROR(__xludf.DUMMYFUNCTION("IMPORTRANGE(""https://docs.google.com/spreadsheets/d/1MeEWN-I1oV_STSDYn1IFDPWt_1FKiwhDph83XaGc0o0/edit?usp=sharing"",""งบพรบ!S43"")"),0)</f>
        <v>0</v>
      </c>
      <c r="N49" s="52">
        <f ca="1">IFERROR(__xludf.DUMMYFUNCTION("IMPORTRANGE(""https://docs.google.com/spreadsheets/d/1MeEWN-I1oV_STSDYn1IFDPWt_1FKiwhDph83XaGc0o0/edit?usp=sharing"",""งบพรบ!U43"")"),0)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729400</v>
      </c>
      <c r="M53" s="116">
        <f t="shared" ca="1" si="31"/>
        <v>603670</v>
      </c>
      <c r="N53" s="116">
        <f t="shared" ca="1" si="31"/>
        <v>527994.57999999996</v>
      </c>
      <c r="O53" s="116">
        <f t="shared" ref="O53:O61" ca="1" si="32">IF(L53&gt;0,N53*100/L53,0)</f>
        <v>72.387521250342743</v>
      </c>
      <c r="P53" s="116">
        <f t="shared" ref="P53:P61" ca="1" si="33">IF(M53&gt;0,N53*100/M53,0)</f>
        <v>87.464107873507032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729400</v>
      </c>
      <c r="M55" s="123">
        <f t="shared" ca="1" si="34"/>
        <v>603670</v>
      </c>
      <c r="N55" s="123">
        <f t="shared" ca="1" si="34"/>
        <v>527994.57999999996</v>
      </c>
      <c r="O55" s="123">
        <f t="shared" ca="1" si="32"/>
        <v>72.387521250342743</v>
      </c>
      <c r="P55" s="123">
        <f t="shared" ca="1" si="33"/>
        <v>87.464107873507032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729400</v>
      </c>
      <c r="M56" s="497">
        <f t="shared" ca="1" si="35"/>
        <v>603670</v>
      </c>
      <c r="N56" s="497">
        <f t="shared" ca="1" si="35"/>
        <v>527994.57999999996</v>
      </c>
      <c r="O56" s="497">
        <f t="shared" ca="1" si="32"/>
        <v>72.387521250342743</v>
      </c>
      <c r="P56" s="497">
        <f t="shared" ca="1" si="33"/>
        <v>87.464107873507032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IFERROR(__xludf.DUMMYFUNCTION("IMPORTRANGE(""https://docs.google.com/spreadsheets/d/1MeEWN-I1oV_STSDYn1IFDPWt_1FKiwhDph83XaGc0o0/edit?usp=sharing"",""งบพรบ!W43"")"),729400)</f>
        <v>729400</v>
      </c>
      <c r="M58" s="93">
        <f ca="1">IFERROR(__xludf.DUMMYFUNCTION("IMPORTRANGE(""https://docs.google.com/spreadsheets/d/1MeEWN-I1oV_STSDYn1IFDPWt_1FKiwhDph83XaGc0o0/edit?usp=sharing"",""งบพรบ!AB43"")"),603670)</f>
        <v>603670</v>
      </c>
      <c r="N58" s="93">
        <f ca="1">IFERROR(__xludf.DUMMYFUNCTION("IMPORTRANGE(""https://docs.google.com/spreadsheets/d/1MeEWN-I1oV_STSDYn1IFDPWt_1FKiwhDph83XaGc0o0/edit?usp=sharing"",""งบพรบ!AD43"")"),527994.58)</f>
        <v>527994.57999999996</v>
      </c>
      <c r="O58" s="93">
        <f t="shared" ca="1" si="32"/>
        <v>72.387521250342743</v>
      </c>
      <c r="P58" s="93">
        <f t="shared" ca="1" si="33"/>
        <v>87.464107873507032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IFERROR(__xludf.DUMMYFUNCTION("IMPORTRANGE(""https://docs.google.com/spreadsheets/d/1MeEWN-I1oV_STSDYn1IFDPWt_1FKiwhDph83XaGc0o0/edit?usp=sharing"",""งบพรบ!Z43"")"),0)</f>
        <v>0</v>
      </c>
      <c r="M61" s="52">
        <f ca="1">IFERROR(__xludf.DUMMYFUNCTION("IMPORTRANGE(""https://docs.google.com/spreadsheets/d/1MeEWN-I1oV_STSDYn1IFDPWt_1FKiwhDph83XaGc0o0/edit?usp=sharing"",""งบพรบ!AC43"")"),0)</f>
        <v>0</v>
      </c>
      <c r="N61" s="52">
        <f ca="1">IFERROR(__xludf.DUMMYFUNCTION("IMPORTRANGE(""https://docs.google.com/spreadsheets/d/1MeEWN-I1oV_STSDYn1IFDPWt_1FKiwhDph83XaGc0o0/edit?usp=sharing"",""งบพรบ!AE43"")"),0)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IFERROR(__xludf.DUMMYFUNCTION("IMPORTRANGE(""https://docs.google.com/spreadsheets/d/1MeEWN-I1oV_STSDYn1IFDPWt_1FKiwhDph83XaGc0o0/edit?usp=sharing"",""งบพรบ!AG43"")"),0)</f>
        <v>0</v>
      </c>
      <c r="M71" s="93">
        <f ca="1">IFERROR(__xludf.DUMMYFUNCTION("IMPORTRANGE(""https://docs.google.com/spreadsheets/d/1MeEWN-I1oV_STSDYn1IFDPWt_1FKiwhDph83XaGc0o0/edit?usp=sharing"",""งบพรบ!AL43"")"),0)</f>
        <v>0</v>
      </c>
      <c r="N71" s="93">
        <f ca="1">IFERROR(__xludf.DUMMYFUNCTION("IMPORTRANGE(""https://docs.google.com/spreadsheets/d/1MeEWN-I1oV_STSDYn1IFDPWt_1FKiwhDph83XaGc0o0/edit?usp=sharing"",""งบพรบ!AN43"")"),0)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IFERROR(__xludf.DUMMYFUNCTION("IMPORTRANGE(""https://docs.google.com/spreadsheets/d/1MeEWN-I1oV_STSDYn1IFDPWt_1FKiwhDph83XaGc0o0/edit?usp=sharing"",""งบพรบ!AJ43"")"),0)</f>
        <v>0</v>
      </c>
      <c r="M74" s="93">
        <f ca="1">IFERROR(__xludf.DUMMYFUNCTION("IMPORTRANGE(""https://docs.google.com/spreadsheets/d/1MeEWN-I1oV_STSDYn1IFDPWt_1FKiwhDph83XaGc0o0/edit?usp=sharing"",""งบพรบ!AM43"")"),0)</f>
        <v>0</v>
      </c>
      <c r="N74" s="93">
        <f ca="1">IFERROR(__xludf.DUMMYFUNCTION("IMPORTRANGE(""https://docs.google.com/spreadsheets/d/1MeEWN-I1oV_STSDYn1IFDPWt_1FKiwhDph83XaGc0o0/edit?usp=sharing"",""งบพรบ!AO43"")"),0)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509040</v>
      </c>
      <c r="M88" s="155">
        <f t="shared" ca="1" si="49"/>
        <v>384440</v>
      </c>
      <c r="N88" s="155">
        <f t="shared" ca="1" si="49"/>
        <v>333831.19</v>
      </c>
      <c r="O88" s="155">
        <f t="shared" ref="O88:O96" ca="1" si="50">IF(L88&gt;0,N88*100/L88,0)</f>
        <v>65.580541804180413</v>
      </c>
      <c r="P88" s="155">
        <f t="shared" ref="P88:P96" ca="1" si="51">IF(M88&gt;0,N88*100/M88,0)</f>
        <v>86.835706482155857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509040</v>
      </c>
      <c r="M90" s="93">
        <f t="shared" ca="1" si="52"/>
        <v>384440</v>
      </c>
      <c r="N90" s="93">
        <f t="shared" ca="1" si="52"/>
        <v>333831.19</v>
      </c>
      <c r="O90" s="93">
        <f t="shared" ca="1" si="50"/>
        <v>65.580541804180413</v>
      </c>
      <c r="P90" s="93">
        <f t="shared" ca="1" si="51"/>
        <v>86.835706482155857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509040</v>
      </c>
      <c r="M91" s="497">
        <f t="shared" ca="1" si="53"/>
        <v>384440</v>
      </c>
      <c r="N91" s="497">
        <f t="shared" ca="1" si="53"/>
        <v>333831.19</v>
      </c>
      <c r="O91" s="497">
        <f t="shared" ca="1" si="50"/>
        <v>65.580541804180413</v>
      </c>
      <c r="P91" s="497">
        <f t="shared" ca="1" si="51"/>
        <v>86.835706482155857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IFERROR(__xludf.DUMMYFUNCTION("IMPORTRANGE(""https://docs.google.com/spreadsheets/d/1MeEWN-I1oV_STSDYn1IFDPWt_1FKiwhDph83XaGc0o0/edit?usp=sharing"",""งบพรบ!AQ43"")"),509040)</f>
        <v>509040</v>
      </c>
      <c r="M93" s="93">
        <f ca="1">IFERROR(__xludf.DUMMYFUNCTION("IMPORTRANGE(""https://docs.google.com/spreadsheets/d/1MeEWN-I1oV_STSDYn1IFDPWt_1FKiwhDph83XaGc0o0/edit?usp=sharing"",""งบพรบ!AV43"")"),384440)</f>
        <v>384440</v>
      </c>
      <c r="N93" s="93">
        <f ca="1">IFERROR(__xludf.DUMMYFUNCTION("IMPORTRANGE(""https://docs.google.com/spreadsheets/d/1MeEWN-I1oV_STSDYn1IFDPWt_1FKiwhDph83XaGc0o0/edit?usp=sharing"",""งบพรบ!AX43"")"),333831.19)</f>
        <v>333831.19</v>
      </c>
      <c r="O93" s="93">
        <f t="shared" ca="1" si="50"/>
        <v>65.580541804180413</v>
      </c>
      <c r="P93" s="93">
        <f t="shared" ca="1" si="51"/>
        <v>86.835706482155857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IFERROR(__xludf.DUMMYFUNCTION("IMPORTRANGE(""https://docs.google.com/spreadsheets/d/1MeEWN-I1oV_STSDYn1IFDPWt_1FKiwhDph83XaGc0o0/edit?usp=sharing"",""งบพรบ!AT43"")"),0)</f>
        <v>0</v>
      </c>
      <c r="M96" s="93">
        <f ca="1">IFERROR(__xludf.DUMMYFUNCTION("IMPORTRANGE(""https://docs.google.com/spreadsheets/d/1MeEWN-I1oV_STSDYn1IFDPWt_1FKiwhDph83XaGc0o0/edit?usp=sharing"",""งบพรบ!AW43"")"),0)</f>
        <v>0</v>
      </c>
      <c r="N96" s="93">
        <f ca="1">IFERROR(__xludf.DUMMYFUNCTION("IMPORTRANGE(""https://docs.google.com/spreadsheets/d/1MeEWN-I1oV_STSDYn1IFDPWt_1FKiwhDph83XaGc0o0/edit?usp=sharing"",""งบพรบ!AY43"")"),0)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IFERROR(__xludf.DUMMYFUNCTION("IMPORTRANGE(""https://docs.google.com/spreadsheets/d/1QqKyyYR6Q21VydFLVH3TRQUabQu_ym0Zz7PgGX0-kHA/edit?usp=sharing"",""แผน!Q43"")"),0)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IFERROR(__xludf.DUMMYFUNCTION("IMPORTRANGE(""https://docs.google.com/spreadsheets/d/1QqKyyYR6Q21VydFLVH3TRQUabQu_ym0Zz7PgGX0-kHA/edit?usp=sharing"",""แผน!Q43"")"),0)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IFERROR(__xludf.DUMMYFUNCTION("IMPORTRANGE(""https://docs.google.com/spreadsheets/d/1QqKyyYR6Q21VydFLVH3TRQUabQu_ym0Zz7PgGX0-kHA/edit?usp=sharing"",""แผน!R43"")"),10)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IFERROR(__xludf.DUMMYFUNCTION("IMPORTRANGE(""https://docs.google.com/spreadsheets/d/1QqKyyYR6Q21VydFLVH3TRQUabQu_ym0Zz7PgGX0-kHA/edit?usp=sharing"",""แผน!R43"")"),10)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IFERROR(__xludf.DUMMYFUNCTION("IMPORTRANGE(""https://docs.google.com/spreadsheets/d/1QqKyyYR6Q21VydFLVH3TRQUabQu_ym0Zz7PgGX0-kHA/edit?usp=sharing"",""แผน!R43"")"),10)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IFERROR(__xludf.DUMMYFUNCTION("IMPORTRANGE(""https://docs.google.com/spreadsheets/d/1QqKyyYR6Q21VydFLVH3TRQUabQu_ym0Zz7PgGX0-kHA/edit?usp=sharing"",""แผน!S43"")"),1)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IFERROR(__xludf.DUMMYFUNCTION("IMPORTRANGE(""https://docs.google.com/spreadsheets/d/1QqKyyYR6Q21VydFLVH3TRQUabQu_ym0Zz7PgGX0-kHA/edit?usp=sharing"",""แผน!T43"")"),0)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IFERROR(__xludf.DUMMYFUNCTION("IMPORTRANGE(""https://docs.google.com/spreadsheets/d/1MeEWN-I1oV_STSDYn1IFDPWt_1FKiwhDph83XaGc0o0/edit?usp=sharing"",""งบพรบ!BA43"")"),0)</f>
        <v>0</v>
      </c>
      <c r="M124" s="93">
        <f ca="1">IFERROR(__xludf.DUMMYFUNCTION("IMPORTRANGE(""https://docs.google.com/spreadsheets/d/1MeEWN-I1oV_STSDYn1IFDPWt_1FKiwhDph83XaGc0o0/edit?usp=sharing"",""งบพรบ!BF43"")"),0)</f>
        <v>0</v>
      </c>
      <c r="N124" s="93">
        <f ca="1">IFERROR(__xludf.DUMMYFUNCTION("IMPORTRANGE(""https://docs.google.com/spreadsheets/d/1MeEWN-I1oV_STSDYn1IFDPWt_1FKiwhDph83XaGc0o0/edit?usp=sharing"",""งบพรบ!BH43"")"),0)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IFERROR(__xludf.DUMMYFUNCTION("IMPORTRANGE(""https://docs.google.com/spreadsheets/d/1MeEWN-I1oV_STSDYn1IFDPWt_1FKiwhDph83XaGc0o0/edit?usp=sharing"",""งบพรบ!BD43"")"),0)</f>
        <v>0</v>
      </c>
      <c r="M127" s="93">
        <f ca="1">IFERROR(__xludf.DUMMYFUNCTION("IMPORTRANGE(""https://docs.google.com/spreadsheets/d/1MeEWN-I1oV_STSDYn1IFDPWt_1FKiwhDph83XaGc0o0/edit?usp=sharing"",""งบพรบ!BG43"")"),0)</f>
        <v>0</v>
      </c>
      <c r="N127" s="93">
        <f ca="1">IFERROR(__xludf.DUMMYFUNCTION("IMPORTRANGE(""https://docs.google.com/spreadsheets/d/1MeEWN-I1oV_STSDYn1IFDPWt_1FKiwhDph83XaGc0o0/edit?usp=sharing"",""งบพรบ!BI43"")"),0)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135060</v>
      </c>
      <c r="O132" s="155">
        <f t="shared" ref="O132:O140" ca="1" si="70">IF(L132&gt;0,N132*100/L132,0)</f>
        <v>89.057400019781738</v>
      </c>
      <c r="P132" s="155">
        <f t="shared" ref="P132:P140" ca="1" si="71">IF(M132&gt;0,N132*100/M132,0)</f>
        <v>91.940095302927162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135060</v>
      </c>
      <c r="O134" s="93">
        <f t="shared" ca="1" si="70"/>
        <v>89.057400019781738</v>
      </c>
      <c r="P134" s="93">
        <f t="shared" ca="1" si="71"/>
        <v>91.940095302927162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32560</v>
      </c>
      <c r="O135" s="497">
        <f t="shared" ca="1" si="70"/>
        <v>66.920152091254749</v>
      </c>
      <c r="P135" s="497">
        <f t="shared" ca="1" si="71"/>
        <v>74.168564920273354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IFERROR(__xludf.DUMMYFUNCTION("IMPORTRANGE(""https://docs.google.com/spreadsheets/d/1MeEWN-I1oV_STSDYn1IFDPWt_1FKiwhDph83XaGc0o0/edit?usp=sharing"",""งบพรบ!BK43"")"),48655)</f>
        <v>48655</v>
      </c>
      <c r="M137" s="93">
        <f ca="1">IFERROR(__xludf.DUMMYFUNCTION("IMPORTRANGE(""https://docs.google.com/spreadsheets/d/1MeEWN-I1oV_STSDYn1IFDPWt_1FKiwhDph83XaGc0o0/edit?usp=sharing"",""งบพรบ!BP43"")"),43900)</f>
        <v>43900</v>
      </c>
      <c r="N137" s="93">
        <f ca="1">IFERROR(__xludf.DUMMYFUNCTION("IMPORTRANGE(""https://docs.google.com/spreadsheets/d/1MeEWN-I1oV_STSDYn1IFDPWt_1FKiwhDph83XaGc0o0/edit?usp=sharing"",""งบพรบ!BR43"")"),32560)</f>
        <v>32560</v>
      </c>
      <c r="O137" s="93">
        <f t="shared" ca="1" si="70"/>
        <v>66.920152091254749</v>
      </c>
      <c r="P137" s="93">
        <f t="shared" ca="1" si="71"/>
        <v>74.168564920273354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102500</v>
      </c>
      <c r="O138" s="497">
        <f t="shared" ca="1" si="70"/>
        <v>99.514563106796118</v>
      </c>
      <c r="P138" s="497">
        <f t="shared" ca="1" si="71"/>
        <v>99.514563106796118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IFERROR(__xludf.DUMMYFUNCTION("IMPORTRANGE(""https://docs.google.com/spreadsheets/d/1MeEWN-I1oV_STSDYn1IFDPWt_1FKiwhDph83XaGc0o0/edit?usp=sharing"",""งบพรบ!BN43"")"),103000)</f>
        <v>103000</v>
      </c>
      <c r="M140" s="93">
        <f ca="1">IFERROR(__xludf.DUMMYFUNCTION("IMPORTRANGE(""https://docs.google.com/spreadsheets/d/1MeEWN-I1oV_STSDYn1IFDPWt_1FKiwhDph83XaGc0o0/edit?usp=sharing"",""งบพรบ!BQ43"")"),103000)</f>
        <v>103000</v>
      </c>
      <c r="N140" s="93">
        <f ca="1">IFERROR(__xludf.DUMMYFUNCTION("IMPORTRANGE(""https://docs.google.com/spreadsheets/d/1MeEWN-I1oV_STSDYn1IFDPWt_1FKiwhDph83XaGc0o0/edit?usp=sharing"",""งบพรบ!BS43"")"),102500)</f>
        <v>102500</v>
      </c>
      <c r="O140" s="93">
        <f t="shared" ca="1" si="70"/>
        <v>99.514563106796118</v>
      </c>
      <c r="P140" s="93">
        <f t="shared" ca="1" si="71"/>
        <v>99.514563106796118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IFERROR(__xludf.DUMMYFUNCTION("IMPORTRANGE(""https://docs.google.com/spreadsheets/d/1QqKyyYR6Q21VydFLVH3TRQUabQu_ym0Zz7PgGX0-kHA/edit?usp=sharing"",""แผน!U43"")"),5)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IFERROR(__xludf.DUMMYFUNCTION("IMPORTRANGE(""https://docs.google.com/spreadsheets/d/1QqKyyYR6Q21VydFLVH3TRQUabQu_ym0Zz7PgGX0-kHA/edit?usp=sharing"",""แผน!V43"")"),10)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IFERROR(__xludf.DUMMYFUNCTION("IMPORTRANGE(""https://docs.google.com/spreadsheets/d/1QqKyyYR6Q21VydFLVH3TRQUabQu_ym0Zz7PgGX0-kHA/edit?usp=sharing"",""แผน!W43"")"),1)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7760</v>
      </c>
      <c r="N149" s="155">
        <f t="shared" ca="1" si="77"/>
        <v>6282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80.953608247422679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7760</v>
      </c>
      <c r="N151" s="93">
        <f t="shared" ca="1" si="80"/>
        <v>6282</v>
      </c>
      <c r="O151" s="93">
        <f t="shared" ca="1" si="78"/>
        <v>0</v>
      </c>
      <c r="P151" s="93">
        <f t="shared" ca="1" si="79"/>
        <v>80.953608247422679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7760</v>
      </c>
      <c r="N152" s="497">
        <f t="shared" ca="1" si="81"/>
        <v>6282</v>
      </c>
      <c r="O152" s="497">
        <f t="shared" ca="1" si="78"/>
        <v>0</v>
      </c>
      <c r="P152" s="497">
        <f t="shared" ca="1" si="79"/>
        <v>80.953608247422679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IFERROR(__xludf.DUMMYFUNCTION("IMPORTRANGE(""https://docs.google.com/spreadsheets/d/1MeEWN-I1oV_STSDYn1IFDPWt_1FKiwhDph83XaGc0o0/edit?usp=sharing"",""งบพรบ!BU43"")"),0)</f>
        <v>0</v>
      </c>
      <c r="M154" s="93">
        <f ca="1">IFERROR(__xludf.DUMMYFUNCTION("IMPORTRANGE(""https://docs.google.com/spreadsheets/d/1MeEWN-I1oV_STSDYn1IFDPWt_1FKiwhDph83XaGc0o0/edit?usp=sharing"",""งบพรบ!BZ43"")"),7760)</f>
        <v>7760</v>
      </c>
      <c r="N154" s="93">
        <f ca="1">IFERROR(__xludf.DUMMYFUNCTION("IMPORTRANGE(""https://docs.google.com/spreadsheets/d/1MeEWN-I1oV_STSDYn1IFDPWt_1FKiwhDph83XaGc0o0/edit?usp=sharing"",""งบพรบ!CB43"")"),6282)</f>
        <v>6282</v>
      </c>
      <c r="O154" s="93">
        <f t="shared" ca="1" si="78"/>
        <v>0</v>
      </c>
      <c r="P154" s="93">
        <f t="shared" ca="1" si="79"/>
        <v>80.953608247422679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IFERROR(__xludf.DUMMYFUNCTION("IMPORTRANGE(""https://docs.google.com/spreadsheets/d/1MeEWN-I1oV_STSDYn1IFDPWt_1FKiwhDph83XaGc0o0/edit?usp=sharing"",""งบพรบ!BX43"")"),0)</f>
        <v>0</v>
      </c>
      <c r="M157" s="93">
        <f ca="1">IFERROR(__xludf.DUMMYFUNCTION("IMPORTRANGE(""https://docs.google.com/spreadsheets/d/1MeEWN-I1oV_STSDYn1IFDPWt_1FKiwhDph83XaGc0o0/edit?usp=sharing"",""งบพรบ!CA43"")"),0)</f>
        <v>0</v>
      </c>
      <c r="N157" s="93">
        <f ca="1">IFERROR(__xludf.DUMMYFUNCTION("IMPORTRANGE(""https://docs.google.com/spreadsheets/d/1MeEWN-I1oV_STSDYn1IFDPWt_1FKiwhDph83XaGc0o0/edit?usp=sharing"",""งบพรบ!CC43"")"),0)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37295</v>
      </c>
      <c r="N165" s="155">
        <f t="shared" ca="1" si="84"/>
        <v>12910</v>
      </c>
      <c r="O165" s="155">
        <f t="shared" ref="O165:O173" ca="1" si="85">IF(L165&gt;0,N165*100/L165,0)</f>
        <v>58.535479483110407</v>
      </c>
      <c r="P165" s="155">
        <f t="shared" ref="P165:P173" ca="1" si="86">IF(M165&gt;0,N165*100/M165,0)</f>
        <v>34.615900254725837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37295</v>
      </c>
      <c r="N167" s="93">
        <f t="shared" ca="1" si="87"/>
        <v>12910</v>
      </c>
      <c r="O167" s="93">
        <f t="shared" ca="1" si="85"/>
        <v>58.535479483110407</v>
      </c>
      <c r="P167" s="93">
        <f t="shared" ca="1" si="86"/>
        <v>34.615900254725837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37295</v>
      </c>
      <c r="N168" s="497">
        <f t="shared" ca="1" si="88"/>
        <v>12910</v>
      </c>
      <c r="O168" s="497">
        <f t="shared" ca="1" si="85"/>
        <v>58.535479483110407</v>
      </c>
      <c r="P168" s="497">
        <f t="shared" ca="1" si="86"/>
        <v>34.615900254725837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IFERROR(__xludf.DUMMYFUNCTION("IMPORTRANGE(""https://docs.google.com/spreadsheets/d/1MeEWN-I1oV_STSDYn1IFDPWt_1FKiwhDph83XaGc0o0/edit?usp=sharing"",""งบพรบ!CE43"")"),22055)</f>
        <v>22055</v>
      </c>
      <c r="M170" s="93">
        <f ca="1">IFERROR(__xludf.DUMMYFUNCTION("IMPORTRANGE(""https://docs.google.com/spreadsheets/d/1MeEWN-I1oV_STSDYn1IFDPWt_1FKiwhDph83XaGc0o0/edit?usp=sharing"",""งบพรบ!CJ43"")"),37295)</f>
        <v>37295</v>
      </c>
      <c r="N170" s="93">
        <f ca="1">IFERROR(__xludf.DUMMYFUNCTION("IMPORTRANGE(""https://docs.google.com/spreadsheets/d/1MeEWN-I1oV_STSDYn1IFDPWt_1FKiwhDph83XaGc0o0/edit?usp=sharing"",""งบพรบ!CL43"")"),12910)</f>
        <v>12910</v>
      </c>
      <c r="O170" s="93">
        <f t="shared" ca="1" si="85"/>
        <v>58.535479483110407</v>
      </c>
      <c r="P170" s="93">
        <f t="shared" ca="1" si="86"/>
        <v>34.615900254725837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IFERROR(__xludf.DUMMYFUNCTION("IMPORTRANGE(""https://docs.google.com/spreadsheets/d/1MeEWN-I1oV_STSDYn1IFDPWt_1FKiwhDph83XaGc0o0/edit?usp=sharing"",""งบพรบ!CH43"")"),0)</f>
        <v>0</v>
      </c>
      <c r="M173" s="93">
        <f ca="1">IFERROR(__xludf.DUMMYFUNCTION("IMPORTRANGE(""https://docs.google.com/spreadsheets/d/1MeEWN-I1oV_STSDYn1IFDPWt_1FKiwhDph83XaGc0o0/edit?usp=sharing"",""งบพรบ!CK43"")"),0)</f>
        <v>0</v>
      </c>
      <c r="N173" s="93">
        <f ca="1">IFERROR(__xludf.DUMMYFUNCTION("IMPORTRANGE(""https://docs.google.com/spreadsheets/d/1MeEWN-I1oV_STSDYn1IFDPWt_1FKiwhDph83XaGc0o0/edit?usp=sharing"",""งบพรบ!CM43"")"),0)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116200</v>
      </c>
      <c r="M181" s="155">
        <f t="shared" ca="1" si="92"/>
        <v>81500</v>
      </c>
      <c r="N181" s="155">
        <f t="shared" ca="1" si="92"/>
        <v>69975</v>
      </c>
      <c r="O181" s="155">
        <f t="shared" ref="O181:O189" ca="1" si="93">IF(L181&gt;0,N181*100/L181,0)</f>
        <v>60.219449225473319</v>
      </c>
      <c r="P181" s="155">
        <f t="shared" ref="P181:P189" ca="1" si="94">IF(M181&gt;0,N181*100/M181,0)</f>
        <v>85.858895705521476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116200</v>
      </c>
      <c r="M183" s="93">
        <f t="shared" ca="1" si="95"/>
        <v>81500</v>
      </c>
      <c r="N183" s="93">
        <f t="shared" ca="1" si="95"/>
        <v>69975</v>
      </c>
      <c r="O183" s="93">
        <f t="shared" ca="1" si="93"/>
        <v>60.219449225473319</v>
      </c>
      <c r="P183" s="93">
        <f t="shared" ca="1" si="94"/>
        <v>85.858895705521476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116200</v>
      </c>
      <c r="M184" s="497">
        <f t="shared" ca="1" si="96"/>
        <v>81500</v>
      </c>
      <c r="N184" s="497">
        <f t="shared" ca="1" si="96"/>
        <v>69975</v>
      </c>
      <c r="O184" s="497">
        <f t="shared" ca="1" si="93"/>
        <v>60.219449225473319</v>
      </c>
      <c r="P184" s="497">
        <f t="shared" ca="1" si="94"/>
        <v>85.858895705521476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IFERROR(__xludf.DUMMYFUNCTION("IMPORTRANGE(""https://docs.google.com/spreadsheets/d/1MeEWN-I1oV_STSDYn1IFDPWt_1FKiwhDph83XaGc0o0/edit?usp=sharing"",""งบพรบ!CO43"")"),116200)</f>
        <v>116200</v>
      </c>
      <c r="M186" s="93">
        <f ca="1">IFERROR(__xludf.DUMMYFUNCTION("IMPORTRANGE(""https://docs.google.com/spreadsheets/d/1MeEWN-I1oV_STSDYn1IFDPWt_1FKiwhDph83XaGc0o0/edit?usp=sharing"",""งบพรบ!CT43"")"),81500)</f>
        <v>81500</v>
      </c>
      <c r="N186" s="93">
        <f ca="1">IFERROR(__xludf.DUMMYFUNCTION("IMPORTRANGE(""https://docs.google.com/spreadsheets/d/1MeEWN-I1oV_STSDYn1IFDPWt_1FKiwhDph83XaGc0o0/edit?usp=sharing"",""งบพรบ!CV43"")"),69975)</f>
        <v>69975</v>
      </c>
      <c r="O186" s="93">
        <f t="shared" ca="1" si="93"/>
        <v>60.219449225473319</v>
      </c>
      <c r="P186" s="93">
        <f t="shared" ca="1" si="94"/>
        <v>85.858895705521476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IFERROR(__xludf.DUMMYFUNCTION("IMPORTRANGE(""https://docs.google.com/spreadsheets/d/1MeEWN-I1oV_STSDYn1IFDPWt_1FKiwhDph83XaGc0o0/edit?usp=sharing"",""งบพรบ!CR43"")"),0)</f>
        <v>0</v>
      </c>
      <c r="M189" s="93">
        <f ca="1">IFERROR(__xludf.DUMMYFUNCTION("IMPORTRANGE(""https://docs.google.com/spreadsheets/d/1MeEWN-I1oV_STSDYn1IFDPWt_1FKiwhDph83XaGc0o0/edit?usp=sharing"",""งบพรบ!CU43"")"),0)</f>
        <v>0</v>
      </c>
      <c r="N189" s="93">
        <f ca="1">IFERROR(__xludf.DUMMYFUNCTION("IMPORTRANGE(""https://docs.google.com/spreadsheets/d/1MeEWN-I1oV_STSDYn1IFDPWt_1FKiwhDph83XaGc0o0/edit?usp=sharing"",""งบพรบ!CW43"")"),0)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IFERROR(__xludf.DUMMYFUNCTION("IMPORTRANGE(""https://docs.google.com/spreadsheets/d/1QqKyyYR6Q21VydFLVH3TRQUabQu_ym0Zz7PgGX0-kHA/edit?usp=sharing"",""แผน!Z43"")"),6000)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IFERROR(__xludf.DUMMYFUNCTION("IMPORTRANGE(""https://docs.google.com/spreadsheets/d/1QqKyyYR6Q21VydFLVH3TRQUabQu_ym0Zz7PgGX0-kHA/edit?usp=sharing"",""แผน!AE43"")"),2000)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IFERROR(__xludf.DUMMYFUNCTION("IMPORTRANGE(""https://docs.google.com/spreadsheets/d/1QqKyyYR6Q21VydFLVH3TRQUabQu_ym0Zz7PgGX0-kHA/edit?usp=sharing"",""แผน!AF43"")"),16000)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IFERROR(__xludf.DUMMYFUNCTION("IMPORTRANGE(""https://docs.google.com/spreadsheets/d/1QqKyyYR6Q21VydFLVH3TRQUabQu_ym0Zz7PgGX0-kHA/edit?usp=sharing"",""แผน!AG43"")"),8000)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IFERROR(__xludf.DUMMYFUNCTION("IMPORTRANGE(""https://docs.google.com/spreadsheets/d/1QqKyyYR6Q21VydFLVH3TRQUabQu_ym0Zz7PgGX0-kHA/edit?usp=sharing"",""แผน!AH43"")"),5000)</f>
        <v>5000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IFERROR(__xludf.DUMMYFUNCTION("IMPORTRANGE(""https://docs.google.com/spreadsheets/d/1QqKyyYR6Q21VydFLVH3TRQUabQu_ym0Zz7PgGX0-kHA/edit?usp=sharing"",""แผน!AI43"")"),2)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17460</v>
      </c>
      <c r="O209" s="155">
        <f ca="1">IF(L209&gt;0,N209*100/L209,0)</f>
        <v>62.357142857142854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IFERROR(__xludf.DUMMYFUNCTION("IMPORTRANGE(""https://docs.google.com/spreadsheets/d/1QqKyyYR6Q21VydFLVH3TRQUabQu_ym0Zz7PgGX0-kHA/edit?usp=sharing"",""แผน!AK43"")"),2000)</f>
        <v>2000</v>
      </c>
      <c r="M210" s="497"/>
      <c r="N210" s="838">
        <v>1460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IFERROR(__xludf.DUMMYFUNCTION("IMPORTRANGE(""https://docs.google.com/spreadsheets/d/1QqKyyYR6Q21VydFLVH3TRQUabQu_ym0Zz7PgGX0-kHA/edit?usp=sharing"",""แผน!AL43"")"),10000)</f>
        <v>10000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IFERROR(__xludf.DUMMYFUNCTION("IMPORTRANGE(""https://docs.google.com/spreadsheets/d/1QqKyyYR6Q21VydFLVH3TRQUabQu_ym0Zz7PgGX0-kHA/edit?usp=sharing"",""แผน!AM43"")"),16000)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IFERROR(__xludf.DUMMYFUNCTION("IMPORTRANGE(""https://docs.google.com/spreadsheets/d/1QqKyyYR6Q21VydFLVH3TRQUabQu_ym0Zz7PgGX0-kHA/edit?usp=sharing"",""แผน!AN43"")"),2)</f>
        <v>2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IFERROR(__xludf.DUMMYFUNCTION("IMPORTRANGE(""https://docs.google.com/spreadsheets/d/1QqKyyYR6Q21VydFLVH3TRQUabQu_ym0Zz7PgGX0-kHA/edit?usp=sharing"",""แผน!AN43"")"),2)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51200</v>
      </c>
      <c r="M217" s="155"/>
      <c r="N217" s="155">
        <f>N218+N219+N220</f>
        <v>10000</v>
      </c>
      <c r="O217" s="155">
        <f ca="1">IF(L217&gt;0,N217*100/L217,0)</f>
        <v>19.53125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IFERROR(__xludf.DUMMYFUNCTION("IMPORTRANGE(""https://docs.google.com/spreadsheets/d/1QqKyyYR6Q21VydFLVH3TRQUabQu_ym0Zz7PgGX0-kHA/edit?usp=sharing"",""แผน!AP43"")"),8000)</f>
        <v>8000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IFERROR(__xludf.DUMMYFUNCTION("IMPORTRANGE(""https://docs.google.com/spreadsheets/d/1QqKyyYR6Q21VydFLVH3TRQUabQu_ym0Zz7PgGX0-kHA/edit?usp=sharing"",""แผน!AQ43"")"),33200)</f>
        <v>33200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IFERROR(__xludf.DUMMYFUNCTION("IMPORTRANGE(""https://docs.google.com/spreadsheets/d/1QqKyyYR6Q21VydFLVH3TRQUabQu_ym0Zz7PgGX0-kHA/edit?usp=sharing"",""แผน!AR43"")"),10000)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IFERROR(__xludf.DUMMYFUNCTION("IMPORTRANGE(""https://docs.google.com/spreadsheets/d/1QqKyyYR6Q21VydFLVH3TRQUabQu_ym0Zz7PgGX0-kHA/edit?usp=sharing"",""แผน!AT43"")"),128000)</f>
        <v>128000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IFERROR(__xludf.DUMMYFUNCTION("IMPORTRANGE(""https://docs.google.com/spreadsheets/d/1QqKyyYR6Q21VydFLVH3TRQUabQu_ym0Zz7PgGX0-kHA/edit?usp=sharing"",""แผน!AT43"")"),128000)</f>
        <v>128000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IFERROR(__xludf.DUMMYFUNCTION("IMPORTRANGE(""https://docs.google.com/spreadsheets/d/1QqKyyYR6Q21VydFLVH3TRQUabQu_ym0Zz7PgGX0-kHA/edit?usp=sharing"",""แผน!AS43"")"),10)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23466</v>
      </c>
      <c r="O261" s="155">
        <f t="shared" ref="O261:O269" ca="1" si="117">IF(L261&gt;0,N261*100/L261,0)</f>
        <v>87.234200743494426</v>
      </c>
      <c r="P261" s="155">
        <f t="shared" ref="P261:P269" ca="1" si="118">IF(M261&gt;0,N261*100/M261,0)</f>
        <v>98.18410041841004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23466</v>
      </c>
      <c r="O263" s="93">
        <f t="shared" ca="1" si="117"/>
        <v>87.234200743494426</v>
      </c>
      <c r="P263" s="93">
        <f t="shared" ca="1" si="118"/>
        <v>98.18410041841004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23466</v>
      </c>
      <c r="O264" s="497">
        <f t="shared" ca="1" si="117"/>
        <v>87.234200743494426</v>
      </c>
      <c r="P264" s="497">
        <f t="shared" ca="1" si="118"/>
        <v>98.18410041841004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IFERROR(__xludf.DUMMYFUNCTION("IMPORTRANGE(""https://docs.google.com/spreadsheets/d/1MeEWN-I1oV_STSDYn1IFDPWt_1FKiwhDph83XaGc0o0/edit?usp=sharing"",""งบพรบ!CY43"")"),26900)</f>
        <v>26900</v>
      </c>
      <c r="M266" s="93">
        <f ca="1">IFERROR(__xludf.DUMMYFUNCTION("IMPORTRANGE(""https://docs.google.com/spreadsheets/d/1MeEWN-I1oV_STSDYn1IFDPWt_1FKiwhDph83XaGc0o0/edit?usp=sharing"",""งบพรบ!DD43"")"),23900)</f>
        <v>23900</v>
      </c>
      <c r="N266" s="93">
        <f ca="1">IFERROR(__xludf.DUMMYFUNCTION("IMPORTRANGE(""https://docs.google.com/spreadsheets/d/1MeEWN-I1oV_STSDYn1IFDPWt_1FKiwhDph83XaGc0o0/edit?usp=sharing"",""งบพรบ!DF43"")"),23466)</f>
        <v>23466</v>
      </c>
      <c r="O266" s="93">
        <f t="shared" ca="1" si="117"/>
        <v>87.234200743494426</v>
      </c>
      <c r="P266" s="93">
        <f t="shared" ca="1" si="118"/>
        <v>98.18410041841004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IFERROR(__xludf.DUMMYFUNCTION("IMPORTRANGE(""https://docs.google.com/spreadsheets/d/1MeEWN-I1oV_STSDYn1IFDPWt_1FKiwhDph83XaGc0o0/edit?usp=sharing"",""งบพรบ!DB43"")"),0)</f>
        <v>0</v>
      </c>
      <c r="M269" s="93">
        <f ca="1">IFERROR(__xludf.DUMMYFUNCTION("IMPORTRANGE(""https://docs.google.com/spreadsheets/d/1MeEWN-I1oV_STSDYn1IFDPWt_1FKiwhDph83XaGc0o0/edit?usp=sharing"",""งบพรบ!DE43"")"),0)</f>
        <v>0</v>
      </c>
      <c r="N269" s="93">
        <f ca="1">IFERROR(__xludf.DUMMYFUNCTION("IMPORTRANGE(""https://docs.google.com/spreadsheets/d/1MeEWN-I1oV_STSDYn1IFDPWt_1FKiwhDph83XaGc0o0/edit?usp=sharing"",""งบพรบ!DG43"")"),0)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34970</v>
      </c>
      <c r="O277" s="155">
        <f t="shared" ref="O277:O285" ca="1" si="126">IF(L277&gt;0,N277*100/L277,0)</f>
        <v>46.232152300370174</v>
      </c>
      <c r="P277" s="155">
        <f t="shared" ref="P277:P285" ca="1" si="127">IF(M277&gt;0,N277*100/M277,0)</f>
        <v>93.203624733475479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34970</v>
      </c>
      <c r="O279" s="93">
        <f t="shared" ca="1" si="126"/>
        <v>46.232152300370174</v>
      </c>
      <c r="P279" s="93">
        <f t="shared" ca="1" si="127"/>
        <v>93.203624733475479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37520</v>
      </c>
      <c r="N280" s="497">
        <f t="shared" ca="1" si="129"/>
        <v>34970</v>
      </c>
      <c r="O280" s="497">
        <f t="shared" ca="1" si="126"/>
        <v>46.232152300370174</v>
      </c>
      <c r="P280" s="497">
        <f t="shared" ca="1" si="127"/>
        <v>93.203624733475479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IFERROR(__xludf.DUMMYFUNCTION("IMPORTRANGE(""https://docs.google.com/spreadsheets/d/1MeEWN-I1oV_STSDYn1IFDPWt_1FKiwhDph83XaGc0o0/edit?usp=sharing"",""งบพรบ!DI43"")"),75640)</f>
        <v>75640</v>
      </c>
      <c r="M282" s="93">
        <f ca="1">IFERROR(__xludf.DUMMYFUNCTION("IMPORTRANGE(""https://docs.google.com/spreadsheets/d/1MeEWN-I1oV_STSDYn1IFDPWt_1FKiwhDph83XaGc0o0/edit?usp=sharing"",""งบพรบ!DN43"")"),37520)</f>
        <v>37520</v>
      </c>
      <c r="N282" s="93">
        <f ca="1">IFERROR(__xludf.DUMMYFUNCTION("IMPORTRANGE(""https://docs.google.com/spreadsheets/d/1MeEWN-I1oV_STSDYn1IFDPWt_1FKiwhDph83XaGc0o0/edit?usp=sharing"",""งบพรบ!DP43"")"),34970)</f>
        <v>34970</v>
      </c>
      <c r="O282" s="93">
        <f t="shared" ca="1" si="126"/>
        <v>46.232152300370174</v>
      </c>
      <c r="P282" s="93">
        <f t="shared" ca="1" si="127"/>
        <v>93.203624733475479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IFERROR(__xludf.DUMMYFUNCTION("IMPORTRANGE(""https://docs.google.com/spreadsheets/d/1MeEWN-I1oV_STSDYn1IFDPWt_1FKiwhDph83XaGc0o0/edit?usp=sharing"",""งบพรบ!DL43"")"),0)</f>
        <v>0</v>
      </c>
      <c r="M285" s="93">
        <f ca="1">IFERROR(__xludf.DUMMYFUNCTION("IMPORTRANGE(""https://docs.google.com/spreadsheets/d/1MeEWN-I1oV_STSDYn1IFDPWt_1FKiwhDph83XaGc0o0/edit?usp=sharing"",""งบพรบ!DO43"")"),0)</f>
        <v>0</v>
      </c>
      <c r="N285" s="93">
        <f ca="1">IFERROR(__xludf.DUMMYFUNCTION("IMPORTRANGE(""https://docs.google.com/spreadsheets/d/1MeEWN-I1oV_STSDYn1IFDPWt_1FKiwhDph83XaGc0o0/edit?usp=sharing"",""งบพรบ!DQ43"")"),0)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IFERROR(__xludf.DUMMYFUNCTION("IMPORTRANGE(""https://docs.google.com/spreadsheets/d/1QqKyyYR6Q21VydFLVH3TRQUabQu_ym0Zz7PgGX0-kHA/edit?usp=sharing"",""แผน!EC43"")"),200)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IFERROR(__xludf.DUMMYFUNCTION("IMPORTRANGE(""https://docs.google.com/spreadsheets/d/1QqKyyYR6Q21VydFLVH3TRQUabQu_ym0Zz7PgGX0-kHA/edit?usp=sharing"",""แผน!EB43"")"),20)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IFERROR(__xludf.DUMMYFUNCTION("IMPORTRANGE(""https://docs.google.com/spreadsheets/d/1QqKyyYR6Q21VydFLVH3TRQUabQu_ym0Zz7PgGX0-kHA/edit?usp=sharing"",""แผน!EB43"")"),20)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IFERROR(__xludf.DUMMYFUNCTION("IMPORTRANGE(""https://docs.google.com/spreadsheets/d/1QqKyyYR6Q21VydFLVH3TRQUabQu_ym0Zz7PgGX0-kHA/edit?usp=sharing"",""แผน!EB43"")"),20)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IFERROR(__xludf.DUMMYFUNCTION("IMPORTRANGE(""https://docs.google.com/spreadsheets/d/1QqKyyYR6Q21VydFLVH3TRQUabQu_ym0Zz7PgGX0-kHA/edit?usp=sharing"",""แผน!EB43"")"),20)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IFERROR(__xludf.DUMMYFUNCTION("IMPORTRANGE(""https://docs.google.com/spreadsheets/d/1QqKyyYR6Q21VydFLVH3TRQUabQu_ym0Zz7PgGX0-kHA/edit?usp=sharing"",""แผน!EB43"")"),20)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IFERROR(__xludf.DUMMYFUNCTION("IMPORTRANGE(""https://docs.google.com/spreadsheets/d/1MeEWN-I1oV_STSDYn1IFDPWt_1FKiwhDph83XaGc0o0/edit?usp=sharing"",""งบพรบ!DS43"")"),0)</f>
        <v>0</v>
      </c>
      <c r="M303" s="93">
        <f ca="1">IFERROR(__xludf.DUMMYFUNCTION("IMPORTRANGE(""https://docs.google.com/spreadsheets/d/1MeEWN-I1oV_STSDYn1IFDPWt_1FKiwhDph83XaGc0o0/edit?usp=sharing"",""งบพรบ!DX43"")"),0)</f>
        <v>0</v>
      </c>
      <c r="N303" s="93">
        <f ca="1">IFERROR(__xludf.DUMMYFUNCTION("IMPORTRANGE(""https://docs.google.com/spreadsheets/d/1MeEWN-I1oV_STSDYn1IFDPWt_1FKiwhDph83XaGc0o0/edit?usp=sharing"",""งบพรบ!DZ43"")"),0)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IFERROR(__xludf.DUMMYFUNCTION("IMPORTRANGE(""https://docs.google.com/spreadsheets/d/1MeEWN-I1oV_STSDYn1IFDPWt_1FKiwhDph83XaGc0o0/edit?usp=sharing"",""งบพรบ!DV43"")"),0)</f>
        <v>0</v>
      </c>
      <c r="M306" s="93">
        <f ca="1">IFERROR(__xludf.DUMMYFUNCTION("IMPORTRANGE(""https://docs.google.com/spreadsheets/d/1MeEWN-I1oV_STSDYn1IFDPWt_1FKiwhDph83XaGc0o0/edit?usp=sharing"",""งบพรบ!DY43"")"),0)</f>
        <v>0</v>
      </c>
      <c r="N306" s="93">
        <f ca="1">IFERROR(__xludf.DUMMYFUNCTION("IMPORTRANGE(""https://docs.google.com/spreadsheets/d/1MeEWN-I1oV_STSDYn1IFDPWt_1FKiwhDph83XaGc0o0/edit?usp=sharing"",""งบพรบ!EA43"")"),0)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IFERROR(__xludf.DUMMYFUNCTION("IMPORTRANGE(""https://docs.google.com/spreadsheets/d/1QqKyyYR6Q21VydFLVH3TRQUabQu_ym0Zz7PgGX0-kHA/edit?usp=sharing"",""แผน!ED43"")"),0)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IFERROR(__xludf.DUMMYFUNCTION("IMPORTRANGE(""https://docs.google.com/spreadsheets/d/1QqKyyYR6Q21VydFLVH3TRQUabQu_ym0Zz7PgGX0-kHA/edit?usp=sharing"",""แผน!ED43"")"),0)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IFERROR(__xludf.DUMMYFUNCTION("IMPORTRANGE(""https://docs.google.com/spreadsheets/d/1QqKyyYR6Q21VydFLVH3TRQUabQu_ym0Zz7PgGX0-kHA/edit?usp=sharing"",""แผน!ED43"")"),0)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IFERROR(__xludf.DUMMYFUNCTION("IMPORTRANGE(""https://docs.google.com/spreadsheets/d/1QqKyyYR6Q21VydFLVH3TRQUabQu_ym0Zz7PgGX0-kHA/edit?usp=sharing"",""แผน!EE43"")"),0)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IFERROR(__xludf.DUMMYFUNCTION("IMPORTRANGE(""https://docs.google.com/spreadsheets/d/1MeEWN-I1oV_STSDYn1IFDPWt_1FKiwhDph83XaGc0o0/edit?usp=sharing"",""งบพรบ!EC43"")"),0)</f>
        <v>0</v>
      </c>
      <c r="M320" s="93">
        <f ca="1">IFERROR(__xludf.DUMMYFUNCTION("IMPORTRANGE(""https://docs.google.com/spreadsheets/d/1MeEWN-I1oV_STSDYn1IFDPWt_1FKiwhDph83XaGc0o0/edit?usp=sharing"",""งบพรบ!EH43"")"),0)</f>
        <v>0</v>
      </c>
      <c r="N320" s="93">
        <f ca="1">IFERROR(__xludf.DUMMYFUNCTION("IMPORTRANGE(""https://docs.google.com/spreadsheets/d/1MeEWN-I1oV_STSDYn1IFDPWt_1FKiwhDph83XaGc0o0/edit?usp=sharing"",""งบพรบ!EJ43"")"),0)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IFERROR(__xludf.DUMMYFUNCTION("IMPORTRANGE(""https://docs.google.com/spreadsheets/d/1MeEWN-I1oV_STSDYn1IFDPWt_1FKiwhDph83XaGc0o0/edit?usp=sharing"",""งบพรบ!EF43"")"),0)</f>
        <v>0</v>
      </c>
      <c r="M323" s="93">
        <f ca="1">IFERROR(__xludf.DUMMYFUNCTION("IMPORTRANGE(""https://docs.google.com/spreadsheets/d/1MeEWN-I1oV_STSDYn1IFDPWt_1FKiwhDph83XaGc0o0/edit?usp=sharing"",""งบพรบ!EI43"")"),0)</f>
        <v>0</v>
      </c>
      <c r="N323" s="93">
        <f ca="1">IFERROR(__xludf.DUMMYFUNCTION("IMPORTRANGE(""https://docs.google.com/spreadsheets/d/1MeEWN-I1oV_STSDYn1IFDPWt_1FKiwhDph83XaGc0o0/edit?usp=sharing"",""งบพรบ!EK43"")"),0)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IFERROR(__xludf.DUMMYFUNCTION("IMPORTRANGE(""https://docs.google.com/spreadsheets/d/1QqKyyYR6Q21VydFLVH3TRQUabQu_ym0Zz7PgGX0-kHA/edit?usp=sharing"",""แผน!EG43"")"),3800)</f>
        <v>3800</v>
      </c>
      <c r="J327" s="444">
        <f ca="1">J338+J341+J342+J343</f>
        <v>3425</v>
      </c>
      <c r="K327" s="445">
        <f ca="1">IF(I327&gt;0,J327*100/I327,0)</f>
        <v>90.131578947368425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135250</v>
      </c>
      <c r="N328" s="155">
        <f t="shared" ca="1" si="149"/>
        <v>78947</v>
      </c>
      <c r="O328" s="155">
        <f t="shared" ref="O328:O336" ca="1" si="150">IF(L328&gt;0,N328*100/L328,0)</f>
        <v>44.60282485875706</v>
      </c>
      <c r="P328" s="155">
        <f t="shared" ref="P328:P336" ca="1" si="151">IF(M328&gt;0,N328*100/M328,0)</f>
        <v>58.371164510166359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135250</v>
      </c>
      <c r="N330" s="93">
        <f t="shared" ca="1" si="152"/>
        <v>78947</v>
      </c>
      <c r="O330" s="93">
        <f t="shared" ca="1" si="150"/>
        <v>44.60282485875706</v>
      </c>
      <c r="P330" s="93">
        <f t="shared" ca="1" si="151"/>
        <v>58.371164510166359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78947</v>
      </c>
      <c r="O331" s="497">
        <f t="shared" ca="1" si="150"/>
        <v>44.60282485875706</v>
      </c>
      <c r="P331" s="497">
        <f t="shared" ca="1" si="151"/>
        <v>58.371164510166359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IFERROR(__xludf.DUMMYFUNCTION("IMPORTRANGE(""https://docs.google.com/spreadsheets/d/1MeEWN-I1oV_STSDYn1IFDPWt_1FKiwhDph83XaGc0o0/edit?usp=sharing"",""งบพรบ!EM43"")"),177000)</f>
        <v>177000</v>
      </c>
      <c r="M333" s="93">
        <f ca="1">IFERROR(__xludf.DUMMYFUNCTION("IMPORTRANGE(""https://docs.google.com/spreadsheets/d/1MeEWN-I1oV_STSDYn1IFDPWt_1FKiwhDph83XaGc0o0/edit?usp=sharing"",""งบพรบ!ER43"")"),135250)</f>
        <v>135250</v>
      </c>
      <c r="N333" s="93">
        <f ca="1">IFERROR(__xludf.DUMMYFUNCTION("IMPORTRANGE(""https://docs.google.com/spreadsheets/d/1MeEWN-I1oV_STSDYn1IFDPWt_1FKiwhDph83XaGc0o0/edit?usp=sharing"",""งบพรบ!ET43"")"),78947)</f>
        <v>78947</v>
      </c>
      <c r="O333" s="93">
        <f t="shared" ca="1" si="150"/>
        <v>44.60282485875706</v>
      </c>
      <c r="P333" s="93">
        <f t="shared" ca="1" si="151"/>
        <v>58.371164510166359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IFERROR(__xludf.DUMMYFUNCTION("IMPORTRANGE(""https://docs.google.com/spreadsheets/d/1MeEWN-I1oV_STSDYn1IFDPWt_1FKiwhDph83XaGc0o0/edit?usp=sharing"",""งบพรบ!EP43"")"),0)</f>
        <v>0</v>
      </c>
      <c r="M336" s="93">
        <f ca="1">IFERROR(__xludf.DUMMYFUNCTION("IMPORTRANGE(""https://docs.google.com/spreadsheets/d/1MeEWN-I1oV_STSDYn1IFDPWt_1FKiwhDph83XaGc0o0/edit?usp=sharing"",""งบพรบ!ES43"")"),0)</f>
        <v>0</v>
      </c>
      <c r="N336" s="93">
        <f ca="1">IFERROR(__xludf.DUMMYFUNCTION("IMPORTRANGE(""https://docs.google.com/spreadsheets/d/1MeEWN-I1oV_STSDYn1IFDPWt_1FKiwhDph83XaGc0o0/edit?usp=sharing"",""งบพรบ!EU43"")"),0)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IFERROR(__xludf.DUMMYFUNCTION("IMPORTRANGE(""https://docs.google.com/spreadsheets/d/1QqKyyYR6Q21VydFLVH3TRQUabQu_ym0Zz7PgGX0-kHA/edit?usp=sharing"",""แผน!EG43"")"),3800)</f>
        <v>3800</v>
      </c>
      <c r="J338" s="270">
        <f ca="1">IFERROR(__xludf.DUMMYFUNCTION("IMPORTRANGE(""https://docs.google.com/spreadsheets/d/1kVcqe37tkHyjCSG3S0O1AXqVkqjo8mSIZil3BcpIysc/edit?usp=sharing"",""ศูนย์!D43"")"),2921)</f>
        <v>2921</v>
      </c>
      <c r="K338" s="497">
        <f ca="1">IF(I338&gt;0,J338*100/I338,0)</f>
        <v>76.868421052631575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IFERROR(__xludf.DUMMYFUNCTION("IMPORTRANGE(""https://docs.google.com/spreadsheets/d/1QqKyyYR6Q21VydFLVH3TRQUabQu_ym0Zz7PgGX0-kHA/edit?usp=sharing"",""แผน!EH43"")"),7)</f>
        <v>7</v>
      </c>
      <c r="J340" s="270">
        <f ca="1">IFERROR(__xludf.DUMMYFUNCTION("IMPORTRANGE(""https://docs.google.com/spreadsheets/d/1kVcqe37tkHyjCSG3S0O1AXqVkqjo8mSIZil3BcpIysc/edit?usp=sharing"",""ศูนย์!E43"")"),4)</f>
        <v>4</v>
      </c>
      <c r="K340" s="497">
        <f ca="1">IF(I340&gt;0,J340*100/I340,0)</f>
        <v>57.142857142857146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IFERROR(__xludf.DUMMYFUNCTION("IMPORTRANGE(""https://docs.google.com/spreadsheets/d/1kVcqe37tkHyjCSG3S0O1AXqVkqjo8mSIZil3BcpIysc/edit?usp=sharing"",""ศูนย์!F43"")"),387)</f>
        <v>387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IFERROR(__xludf.DUMMYFUNCTION("IMPORTRANGE(""https://docs.google.com/spreadsheets/d/1kVcqe37tkHyjCSG3S0O1AXqVkqjo8mSIZil3BcpIysc/edit?usp=sharing"",""ศูนย์!H43"")"),117)</f>
        <v>117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1476480</v>
      </c>
      <c r="M345" s="155">
        <f t="shared" ca="1" si="155"/>
        <v>1294760</v>
      </c>
      <c r="N345" s="155">
        <f t="shared" ca="1" si="155"/>
        <v>852790</v>
      </c>
      <c r="O345" s="155">
        <f t="shared" ref="O345:O353" ca="1" si="156">IF(L345&gt;0,N345*100/L345,0)</f>
        <v>57.758317078456869</v>
      </c>
      <c r="P345" s="155">
        <f t="shared" ref="P345:P353" ca="1" si="157">IF(M345&gt;0,N345*100/M345,0)</f>
        <v>65.864716240847727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1476480</v>
      </c>
      <c r="M347" s="93">
        <f t="shared" ca="1" si="158"/>
        <v>1294760</v>
      </c>
      <c r="N347" s="93">
        <f t="shared" ca="1" si="158"/>
        <v>852790</v>
      </c>
      <c r="O347" s="93">
        <f t="shared" ca="1" si="156"/>
        <v>57.758317078456869</v>
      </c>
      <c r="P347" s="93">
        <f t="shared" ca="1" si="157"/>
        <v>65.864716240847727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1416480</v>
      </c>
      <c r="M348" s="497">
        <f t="shared" ca="1" si="159"/>
        <v>1234760</v>
      </c>
      <c r="N348" s="497">
        <f t="shared" ca="1" si="159"/>
        <v>792790</v>
      </c>
      <c r="O348" s="497">
        <f t="shared" ca="1" si="156"/>
        <v>55.969021800519599</v>
      </c>
      <c r="P348" s="497">
        <f t="shared" ca="1" si="157"/>
        <v>64.205999546470565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IFERROR(__xludf.DUMMYFUNCTION("IMPORTRANGE(""https://docs.google.com/spreadsheets/d/1MeEWN-I1oV_STSDYn1IFDPWt_1FKiwhDph83XaGc0o0/edit?usp=sharing"",""งบพรบ!EW43"")"),1416480)</f>
        <v>1416480</v>
      </c>
      <c r="M350" s="93">
        <f ca="1">IFERROR(__xludf.DUMMYFUNCTION("IMPORTRANGE(""https://docs.google.com/spreadsheets/d/1MeEWN-I1oV_STSDYn1IFDPWt_1FKiwhDph83XaGc0o0/edit?usp=sharing"",""งบพรบ!FB43"")"),1234760)</f>
        <v>1234760</v>
      </c>
      <c r="N350" s="93">
        <f ca="1">IFERROR(__xludf.DUMMYFUNCTION("IMPORTRANGE(""https://docs.google.com/spreadsheets/d/1MeEWN-I1oV_STSDYn1IFDPWt_1FKiwhDph83XaGc0o0/edit?usp=sharing"",""งบพรบ!FD43"")"),792790)</f>
        <v>792790</v>
      </c>
      <c r="O350" s="93">
        <f t="shared" ca="1" si="156"/>
        <v>55.969021800519599</v>
      </c>
      <c r="P350" s="93">
        <f t="shared" ca="1" si="157"/>
        <v>64.205999546470565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IFERROR(__xludf.DUMMYFUNCTION("IMPORTRANGE(""https://docs.google.com/spreadsheets/d/1MeEWN-I1oV_STSDYn1IFDPWt_1FKiwhDph83XaGc0o0/edit?usp=sharing"",""งบพรบ!EZ43"")"),60000)</f>
        <v>60000</v>
      </c>
      <c r="M353" s="93">
        <f ca="1">IFERROR(__xludf.DUMMYFUNCTION("IMPORTRANGE(""https://docs.google.com/spreadsheets/d/1MeEWN-I1oV_STSDYn1IFDPWt_1FKiwhDph83XaGc0o0/edit?usp=sharing"",""งบพรบ!FC43"")"),60000)</f>
        <v>60000</v>
      </c>
      <c r="N353" s="93">
        <f ca="1">IFERROR(__xludf.DUMMYFUNCTION("IMPORTRANGE(""https://docs.google.com/spreadsheets/d/1MeEWN-I1oV_STSDYn1IFDPWt_1FKiwhDph83XaGc0o0/edit?usp=sharing"",""งบพรบ!FE43"")"),60000)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IFERROR(__xludf.DUMMYFUNCTION("IMPORTRANGE(""https://docs.google.com/spreadsheets/d/1QqKyyYR6Q21VydFLVH3TRQUabQu_ym0Zz7PgGX0-kHA/edit?usp=sharing"",""แผน!EP43"")"),755)</f>
        <v>755</v>
      </c>
      <c r="J355" s="464">
        <f ca="1">J362</f>
        <v>364</v>
      </c>
      <c r="K355" s="465">
        <f ca="1">IF(I355&gt;0,J355*100/I355,0)</f>
        <v>48.211920529801326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IFERROR(__xludf.DUMMYFUNCTION("IMPORTRANGE(""https://docs.google.com/spreadsheets/d/1XWAQStnk-4SwqDmLtmXYiTMKHgktTP8We1SCoS47DrQ/edit?usp=sharing"",""จัดที่ดิน!W43"")"),461)</f>
        <v>461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IFERROR(__xludf.DUMMYFUNCTION("IMPORTRANGE(""https://docs.google.com/spreadsheets/d/1QqKyyYR6Q21VydFLVH3TRQUabQu_ym0Zz7PgGX0-kHA/edit?usp=sharing"",""แผน!EO43"")"),7550)</f>
        <v>7550</v>
      </c>
      <c r="J359" s="270">
        <f ca="1">IFERROR(__xludf.DUMMYFUNCTION("IMPORTRANGE(""https://docs.google.com/spreadsheets/d/1XWAQStnk-4SwqDmLtmXYiTMKHgktTP8We1SCoS47DrQ/edit?usp=sharing"",""จัดที่ดิน!X43"")"),4039.68)</f>
        <v>4039.68</v>
      </c>
      <c r="K359" s="497">
        <f t="shared" ca="1" si="161"/>
        <v>53.505695364238413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IFERROR(__xludf.DUMMYFUNCTION("IMPORTRANGE(""https://docs.google.com/spreadsheets/d/1QqKyyYR6Q21VydFLVH3TRQUabQu_ym0Zz7PgGX0-kHA/edit?usp=sharing"",""แผน!EP43"")"),755)</f>
        <v>755</v>
      </c>
      <c r="J360" s="270">
        <f ca="1">IFERROR(__xludf.DUMMYFUNCTION("IMPORTRANGE(""https://docs.google.com/spreadsheets/d/1XWAQStnk-4SwqDmLtmXYiTMKHgktTP8We1SCoS47DrQ/edit?usp=sharing"",""จัดที่ดิน!Y43"")"),362)</f>
        <v>362</v>
      </c>
      <c r="K360" s="497">
        <f t="shared" ca="1" si="161"/>
        <v>47.94701986754967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IFERROR(__xludf.DUMMYFUNCTION("IMPORTRANGE(""https://docs.google.com/spreadsheets/d/1XWAQStnk-4SwqDmLtmXYiTMKHgktTP8We1SCoS47DrQ/edit?usp=sharing"",""จัดที่ดิน!Z43"")"),3089.63)</f>
        <v>3089.63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IFERROR(__xludf.DUMMYFUNCTION("IMPORTRANGE(""https://docs.google.com/spreadsheets/d/1QqKyyYR6Q21VydFLVH3TRQUabQu_ym0Zz7PgGX0-kHA/edit?usp=sharing"",""แผน!EP43"")"),755)</f>
        <v>755</v>
      </c>
      <c r="J362" s="270">
        <f ca="1">IFERROR(__xludf.DUMMYFUNCTION("IMPORTRANGE(""https://docs.google.com/spreadsheets/d/1XWAQStnk-4SwqDmLtmXYiTMKHgktTP8We1SCoS47DrQ/edit?usp=sharing"",""จัดที่ดิน!AA43"")"),364)</f>
        <v>364</v>
      </c>
      <c r="K362" s="497">
        <f t="shared" ca="1" si="161"/>
        <v>48.211920529801326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IFERROR(__xludf.DUMMYFUNCTION("IMPORTRANGE(""https://docs.google.com/spreadsheets/d/1XWAQStnk-4SwqDmLtmXYiTMKHgktTP8We1SCoS47DrQ/edit?usp=sharing"",""จัดที่ดิน!AB43"")"),3109.23)</f>
        <v>3109.23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1155</v>
      </c>
      <c r="J364" s="478">
        <f t="shared" ca="1" si="162"/>
        <v>757</v>
      </c>
      <c r="K364" s="479">
        <f t="shared" ca="1" si="161"/>
        <v>65.541125541125538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IFERROR(__xludf.DUMMYFUNCTION("IMPORTRANGE(""https://docs.google.com/spreadsheets/d/1QqKyyYR6Q21VydFLVH3TRQUabQu_ym0Zz7PgGX0-kHA/edit?usp=sharing"",""แผน!EJ43"")"),355)</f>
        <v>355</v>
      </c>
      <c r="J365" s="490">
        <f ca="1">J372</f>
        <v>110</v>
      </c>
      <c r="K365" s="491">
        <f t="shared" ca="1" si="161"/>
        <v>30.985915492957748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IFERROR(__xludf.DUMMYFUNCTION("IMPORTRANGE(""https://docs.google.com/spreadsheets/d/1XWAQStnk-4SwqDmLtmXYiTMKHgktTP8We1SCoS47DrQ/edit?usp=sharing"",""จัดที่ดิน!E43"")"),101)</f>
        <v>101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IFERROR(__xludf.DUMMYFUNCTION("IMPORTRANGE(""https://docs.google.com/spreadsheets/d/1QqKyyYR6Q21VydFLVH3TRQUabQu_ym0Zz7PgGX0-kHA/edit?usp=sharing"",""แผน!EI43"")"),3550)</f>
        <v>3550</v>
      </c>
      <c r="J369" s="270">
        <f ca="1">IFERROR(__xludf.DUMMYFUNCTION("IMPORTRANGE(""https://docs.google.com/spreadsheets/d/1XWAQStnk-4SwqDmLtmXYiTMKHgktTP8We1SCoS47DrQ/edit?usp=sharing"",""จัดที่ดิน!F43"")"),673.84)</f>
        <v>673.84</v>
      </c>
      <c r="K369" s="497">
        <f t="shared" ca="1" si="163"/>
        <v>18.981408450704226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IFERROR(__xludf.DUMMYFUNCTION("IMPORTRANGE(""https://docs.google.com/spreadsheets/d/1QqKyyYR6Q21VydFLVH3TRQUabQu_ym0Zz7PgGX0-kHA/edit?usp=sharing"",""แผน!EJ43"")"),355)</f>
        <v>355</v>
      </c>
      <c r="J370" s="270">
        <f ca="1">IFERROR(__xludf.DUMMYFUNCTION("IMPORTRANGE(""https://docs.google.com/spreadsheets/d/1XWAQStnk-4SwqDmLtmXYiTMKHgktTP8We1SCoS47DrQ/edit?usp=sharing"",""จัดที่ดิน!G43"")"),109)</f>
        <v>109</v>
      </c>
      <c r="K370" s="497">
        <f t="shared" ca="1" si="163"/>
        <v>30.704225352112676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IFERROR(__xludf.DUMMYFUNCTION("IMPORTRANGE(""https://docs.google.com/spreadsheets/d/1XWAQStnk-4SwqDmLtmXYiTMKHgktTP8We1SCoS47DrQ/edit?usp=sharing"",""จัดที่ดิน!H43"")"),771.51)</f>
        <v>771.51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IFERROR(__xludf.DUMMYFUNCTION("IMPORTRANGE(""https://docs.google.com/spreadsheets/d/1QqKyyYR6Q21VydFLVH3TRQUabQu_ym0Zz7PgGX0-kHA/edit?usp=sharing"",""แผน!EJ43"")"),355)</f>
        <v>355</v>
      </c>
      <c r="J372" s="270">
        <f ca="1">IFERROR(__xludf.DUMMYFUNCTION("IMPORTRANGE(""https://docs.google.com/spreadsheets/d/1XWAQStnk-4SwqDmLtmXYiTMKHgktTP8We1SCoS47DrQ/edit?usp=sharing"",""จัดที่ดิน!I43"")"),110)</f>
        <v>110</v>
      </c>
      <c r="K372" s="497">
        <f t="shared" ca="1" si="163"/>
        <v>30.985915492957748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IFERROR(__xludf.DUMMYFUNCTION("IMPORTRANGE(""https://docs.google.com/spreadsheets/d/1XWAQStnk-4SwqDmLtmXYiTMKHgktTP8We1SCoS47DrQ/edit?usp=sharing"",""จัดที่ดิน!J43"")"),781.58)</f>
        <v>781.58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IFERROR(__xludf.DUMMYFUNCTION("IMPORTRANGE(""https://docs.google.com/spreadsheets/d/1QqKyyYR6Q21VydFLVH3TRQUabQu_ym0Zz7PgGX0-kHA/edit?usp=sharing"",""แผน!EU43"")"),800)</f>
        <v>800</v>
      </c>
      <c r="J374" s="490">
        <f ca="1">J381</f>
        <v>647</v>
      </c>
      <c r="K374" s="491">
        <f t="shared" ca="1" si="163"/>
        <v>80.875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IFERROR(__xludf.DUMMYFUNCTION("IMPORTRANGE(""https://docs.google.com/spreadsheets/d/1XWAQStnk-4SwqDmLtmXYiTMKHgktTP8We1SCoS47DrQ/edit?usp=sharing"",""จัดที่ดิน!AH43"")"),360)</f>
        <v>360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IFERROR(__xludf.DUMMYFUNCTION("IMPORTRANGE(""https://docs.google.com/spreadsheets/d/1QqKyyYR6Q21VydFLVH3TRQUabQu_ym0Zz7PgGX0-kHA/edit?usp=sharing"",""แผน!ET43"")"),4000)</f>
        <v>4000</v>
      </c>
      <c r="J378" s="270">
        <f ca="1">IFERROR(__xludf.DUMMYFUNCTION("IMPORTRANGE(""https://docs.google.com/spreadsheets/d/1XWAQStnk-4SwqDmLtmXYiTMKHgktTP8We1SCoS47DrQ/edit?usp=sharing"",""จัดที่ดิน!AI43"")"),3365.84)</f>
        <v>3365.84</v>
      </c>
      <c r="K378" s="497">
        <f t="shared" ca="1" si="164"/>
        <v>84.146000000000001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IFERROR(__xludf.DUMMYFUNCTION("IMPORTRANGE(""https://docs.google.com/spreadsheets/d/1QqKyyYR6Q21VydFLVH3TRQUabQu_ym0Zz7PgGX0-kHA/edit?usp=sharing"",""แผน!EU43"")"),800)</f>
        <v>800</v>
      </c>
      <c r="J379" s="270">
        <f ca="1">IFERROR(__xludf.DUMMYFUNCTION("IMPORTRANGE(""https://docs.google.com/spreadsheets/d/1XWAQStnk-4SwqDmLtmXYiTMKHgktTP8We1SCoS47DrQ/edit?usp=sharing"",""จัดที่ดิน!AJ43"")"),646)</f>
        <v>646</v>
      </c>
      <c r="K379" s="497">
        <f t="shared" ca="1" si="164"/>
        <v>80.75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IFERROR(__xludf.DUMMYFUNCTION("IMPORTRANGE(""https://docs.google.com/spreadsheets/d/1XWAQStnk-4SwqDmLtmXYiTMKHgktTP8We1SCoS47DrQ/edit?usp=sharing"",""จัดที่ดิน!AK43"")"),8618.15)</f>
        <v>8618.15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IFERROR(__xludf.DUMMYFUNCTION("IMPORTRANGE(""https://docs.google.com/spreadsheets/d/1QqKyyYR6Q21VydFLVH3TRQUabQu_ym0Zz7PgGX0-kHA/edit?usp=sharing"",""แผน!EU43"")"),800)</f>
        <v>800</v>
      </c>
      <c r="J381" s="270">
        <f ca="1">IFERROR(__xludf.DUMMYFUNCTION("IMPORTRANGE(""https://docs.google.com/spreadsheets/d/1XWAQStnk-4SwqDmLtmXYiTMKHgktTP8We1SCoS47DrQ/edit?usp=sharing"",""จัดที่ดิน!AL43"")"),647)</f>
        <v>647</v>
      </c>
      <c r="K381" s="497">
        <f t="shared" ca="1" si="164"/>
        <v>80.875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IFERROR(__xludf.DUMMYFUNCTION("IMPORTRANGE(""https://docs.google.com/spreadsheets/d/1XWAQStnk-4SwqDmLtmXYiTMKHgktTP8We1SCoS47DrQ/edit?usp=sharing"",""จัดที่ดิน!AM43"")"),8627.68)</f>
        <v>8627.68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IFERROR(__xludf.DUMMYFUNCTION("IMPORTRANGE(""https://docs.google.com/spreadsheets/d/1QqKyyYR6Q21VydFLVH3TRQUabQu_ym0Zz7PgGX0-kHA/edit?usp=sharing"",""แผน!EW43"")"),100)</f>
        <v>100</v>
      </c>
      <c r="J385" s="504">
        <f ca="1">IFERROR(__xludf.DUMMYFUNCTION("IMPORTRANGE(""https://docs.google.com/spreadsheets/d/1XWAQStnk-4SwqDmLtmXYiTMKHgktTP8We1SCoS47DrQ/edit?usp=sharing"",""จัดที่ดิน!AP43"")"),2)</f>
        <v>2</v>
      </c>
      <c r="K385" s="505">
        <f ca="1">IF(I385&gt;0,J385*100/I385,0)</f>
        <v>2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IFERROR(__xludf.DUMMYFUNCTION("IMPORTRANGE(""https://docs.google.com/spreadsheets/d/1MeEWN-I1oV_STSDYn1IFDPWt_1FKiwhDph83XaGc0o0/edit?usp=sharing"",""งบพรบ!FG43"")"),0)</f>
        <v>0</v>
      </c>
      <c r="M394" s="93">
        <f ca="1">IFERROR(__xludf.DUMMYFUNCTION("IMPORTRANGE(""https://docs.google.com/spreadsheets/d/1MeEWN-I1oV_STSDYn1IFDPWt_1FKiwhDph83XaGc0o0/edit?usp=sharing"",""งบพรบ!FL43"")"),0)</f>
        <v>0</v>
      </c>
      <c r="N394" s="93">
        <f ca="1">IFERROR(__xludf.DUMMYFUNCTION("IMPORTRANGE(""https://docs.google.com/spreadsheets/d/1MeEWN-I1oV_STSDYn1IFDPWt_1FKiwhDph83XaGc0o0/edit?usp=sharing"",""งบพรบ!FN43"")"),0)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IFERROR(__xludf.DUMMYFUNCTION("IMPORTRANGE(""https://docs.google.com/spreadsheets/d/1MeEWN-I1oV_STSDYn1IFDPWt_1FKiwhDph83XaGc0o0/edit?usp=sharing"",""งบพรบ!FJ43"")"),0)</f>
        <v>0</v>
      </c>
      <c r="M397" s="93">
        <f ca="1">IFERROR(__xludf.DUMMYFUNCTION("IMPORTRANGE(""https://docs.google.com/spreadsheets/d/1MeEWN-I1oV_STSDYn1IFDPWt_1FKiwhDph83XaGc0o0/edit?usp=sharing"",""งบพรบ!FM43"")"),0)</f>
        <v>0</v>
      </c>
      <c r="N397" s="93">
        <f ca="1">IFERROR(__xludf.DUMMYFUNCTION("IMPORTRANGE(""https://docs.google.com/spreadsheets/d/1MeEWN-I1oV_STSDYn1IFDPWt_1FKiwhDph83XaGc0o0/edit?usp=sharing"",""งบพรบ!FO43"")"),0)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IFERROR(__xludf.DUMMYFUNCTION("IMPORTRANGE(""https://docs.google.com/spreadsheets/d/1MeEWN-I1oV_STSDYn1IFDPWt_1FKiwhDph83XaGc0o0/edit?usp=sharing"",""งบพรบ!FQ43"")"),0)</f>
        <v>0</v>
      </c>
      <c r="M407" s="93">
        <f ca="1">IFERROR(__xludf.DUMMYFUNCTION("IMPORTRANGE(""https://docs.google.com/spreadsheets/d/1MeEWN-I1oV_STSDYn1IFDPWt_1FKiwhDph83XaGc0o0/edit?usp=sharing"",""งบพรบ!FV43"")"),0)</f>
        <v>0</v>
      </c>
      <c r="N407" s="93">
        <f ca="1">IFERROR(__xludf.DUMMYFUNCTION("IMPORTRANGE(""https://docs.google.com/spreadsheets/d/1MeEWN-I1oV_STSDYn1IFDPWt_1FKiwhDph83XaGc0o0/edit?usp=sharing"",""งบพรบ!FX43"")"),0)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IFERROR(__xludf.DUMMYFUNCTION("IMPORTRANGE(""https://docs.google.com/spreadsheets/d/1MeEWN-I1oV_STSDYn1IFDPWt_1FKiwhDph83XaGc0o0/edit?usp=sharing"",""งบพรบ!FT43"")"),0)</f>
        <v>0</v>
      </c>
      <c r="M410" s="93">
        <f ca="1">IFERROR(__xludf.DUMMYFUNCTION("IMPORTRANGE(""https://docs.google.com/spreadsheets/d/1MeEWN-I1oV_STSDYn1IFDPWt_1FKiwhDph83XaGc0o0/edit?usp=sharing"",""งบพรบ!FW43"")"),0)</f>
        <v>0</v>
      </c>
      <c r="N410" s="93">
        <f ca="1">IFERROR(__xludf.DUMMYFUNCTION("IMPORTRANGE(""https://docs.google.com/spreadsheets/d/1MeEWN-I1oV_STSDYn1IFDPWt_1FKiwhDph83XaGc0o0/edit?usp=sharing"",""งบพรบ!FY43"")"),0)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2129712</v>
      </c>
      <c r="M414" s="552">
        <f t="shared" ca="1" si="181"/>
        <v>2129712</v>
      </c>
      <c r="N414" s="552">
        <f t="shared" si="181"/>
        <v>956168.25999999989</v>
      </c>
      <c r="O414" s="552">
        <f ca="1">IF(L414&gt;0,N414*100/L414,0)</f>
        <v>44.896599164581872</v>
      </c>
      <c r="P414" s="552">
        <f ca="1">IF(M414&gt;0,N414*100/M414,0)</f>
        <v>44.896599164581872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63440</v>
      </c>
      <c r="O419" s="155">
        <f t="shared" ref="O419:O424" ca="1" si="185">IF(L419&gt;0,N419*100/L419,0)</f>
        <v>80.650902618865999</v>
      </c>
      <c r="P419" s="155">
        <f t="shared" ref="P419:P424" ca="1" si="186">IF(M419&gt;0,N419*100/M419,0)</f>
        <v>80.650902618865999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63440</v>
      </c>
      <c r="O421" s="93">
        <f t="shared" ca="1" si="185"/>
        <v>80.650902618865999</v>
      </c>
      <c r="P421" s="93">
        <f t="shared" ca="1" si="186"/>
        <v>80.650902618865999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63440</v>
      </c>
      <c r="O422" s="497">
        <f t="shared" ca="1" si="185"/>
        <v>80.650902618865999</v>
      </c>
      <c r="P422" s="497">
        <f t="shared" ca="1" si="186"/>
        <v>80.650902618865999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IFERROR(__xludf.DUMMYFUNCTION("IMPORTRANGE(""https://docs.google.com/spreadsheets/d/1QqKyyYR6Q21VydFLVH3TRQUabQu_ym0Zz7PgGX0-kHA/edit?usp=sharing"",""แผน!EY43"")"),78660)</f>
        <v>78660</v>
      </c>
      <c r="M424" s="93">
        <f ca="1">L424</f>
        <v>78660</v>
      </c>
      <c r="N424" s="93">
        <f>N425+N426+N427+N428</f>
        <v>63440</v>
      </c>
      <c r="O424" s="93">
        <f t="shared" ca="1" si="185"/>
        <v>80.650902618865999</v>
      </c>
      <c r="P424" s="93">
        <f t="shared" ca="1" si="186"/>
        <v>80.650902618865999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63440-48400</f>
        <v>15040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235</v>
      </c>
      <c r="J443" s="568">
        <f t="shared" si="196"/>
        <v>235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571280</v>
      </c>
      <c r="M444" s="195">
        <f t="shared" ca="1" si="197"/>
        <v>571280</v>
      </c>
      <c r="N444" s="195">
        <f t="shared" si="197"/>
        <v>244817</v>
      </c>
      <c r="O444" s="195">
        <f t="shared" ref="O444:O449" ca="1" si="198">IF(L444&gt;0,N444*100/L444,0)</f>
        <v>42.854117070438313</v>
      </c>
      <c r="P444" s="195">
        <f t="shared" ref="P444:P449" ca="1" si="199">IF(M444&gt;0,N444*100/M444,0)</f>
        <v>42.854117070438313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571280</v>
      </c>
      <c r="M446" s="93">
        <f t="shared" ca="1" si="200"/>
        <v>571280</v>
      </c>
      <c r="N446" s="93">
        <f t="shared" si="200"/>
        <v>244817</v>
      </c>
      <c r="O446" s="93">
        <f t="shared" ca="1" si="198"/>
        <v>42.854117070438313</v>
      </c>
      <c r="P446" s="93">
        <f t="shared" ca="1" si="199"/>
        <v>42.854117070438313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571280</v>
      </c>
      <c r="M447" s="497">
        <f t="shared" ca="1" si="201"/>
        <v>571280</v>
      </c>
      <c r="N447" s="497">
        <f t="shared" si="201"/>
        <v>244817</v>
      </c>
      <c r="O447" s="497">
        <f t="shared" ca="1" si="198"/>
        <v>42.854117070438313</v>
      </c>
      <c r="P447" s="497">
        <f t="shared" ca="1" si="199"/>
        <v>42.854117070438313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IFERROR(__xludf.DUMMYFUNCTION("IMPORTRANGE(""https://docs.google.com/spreadsheets/d/1QqKyyYR6Q21VydFLVH3TRQUabQu_ym0Zz7PgGX0-kHA/edit?usp=sharing"",""แผน!FJ43"")"),571280)</f>
        <v>571280</v>
      </c>
      <c r="M449" s="93">
        <f ca="1">L449</f>
        <v>571280</v>
      </c>
      <c r="N449" s="93">
        <f>N450+N451+N452+N453</f>
        <v>244817</v>
      </c>
      <c r="O449" s="93">
        <f t="shared" ca="1" si="198"/>
        <v>42.854117070438313</v>
      </c>
      <c r="P449" s="93">
        <f t="shared" ca="1" si="199"/>
        <v>42.854117070438313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128800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64567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244817-64567-128800</f>
        <v>51450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IFERROR(__xludf.DUMMYFUNCTION("IMPORTRANGE(""https://docs.google.com/spreadsheets/d/1QqKyyYR6Q21VydFLVH3TRQUabQu_ym0Zz7PgGX0-kHA/edit?usp=sharing"",""แผน!FN43"")"),100)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IFERROR(__xludf.DUMMYFUNCTION("IMPORTRANGE(""https://docs.google.com/spreadsheets/d/1QqKyyYR6Q21VydFLVH3TRQUabQu_ym0Zz7PgGX0-kHA/edit?usp=sharing"",""แผน!FO43"")"),235)</f>
        <v>235</v>
      </c>
      <c r="J462" s="215">
        <v>235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IFERROR(__xludf.DUMMYFUNCTION("IMPORTRANGE(""https://docs.google.com/spreadsheets/d/1QqKyyYR6Q21VydFLVH3TRQUabQu_ym0Zz7PgGX0-kHA/edit?usp=sharing"",""แผน!FO43"")"),235)</f>
        <v>235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IFERROR(__xludf.DUMMYFUNCTION("IMPORTRANGE(""https://docs.google.com/spreadsheets/d/1QqKyyYR6Q21VydFLVH3TRQUabQu_ym0Zz7PgGX0-kHA/edit?usp=sharing"",""แผน!FN43"")"),100)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IFERROR(__xludf.DUMMYFUNCTION("IMPORTRANGE(""https://docs.google.com/spreadsheets/d/1QqKyyYR6Q21VydFLVH3TRQUabQu_ym0Zz7PgGX0-kHA/edit?usp=sharing"",""แผน!FX43"")"),31)</f>
        <v>31</v>
      </c>
      <c r="J465" s="588">
        <f>J485+J489+J492</f>
        <v>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IFERROR(__xludf.DUMMYFUNCTION("IMPORTRANGE(""https://docs.google.com/spreadsheets/d/1QqKyyYR6Q21VydFLVH3TRQUabQu_ym0Zz7PgGX0-kHA/edit?usp=sharing"",""แผน!FW43"")"),300)</f>
        <v>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260973</v>
      </c>
      <c r="M467" s="195">
        <f t="shared" ca="1" si="206"/>
        <v>260973</v>
      </c>
      <c r="N467" s="195">
        <f t="shared" si="206"/>
        <v>59353</v>
      </c>
      <c r="O467" s="195">
        <f t="shared" ref="O467:O472" ca="1" si="207">IF(L467&gt;0,N467*100/L467,0)</f>
        <v>22.742965747414484</v>
      </c>
      <c r="P467" s="195">
        <f t="shared" ref="P467:P472" ca="1" si="208">IF(M467&gt;0,N467*100/M467,0)</f>
        <v>22.742965747414484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260973</v>
      </c>
      <c r="M469" s="93">
        <f t="shared" ca="1" si="209"/>
        <v>260973</v>
      </c>
      <c r="N469" s="93">
        <f t="shared" si="209"/>
        <v>59353</v>
      </c>
      <c r="O469" s="93">
        <f t="shared" ca="1" si="207"/>
        <v>22.742965747414484</v>
      </c>
      <c r="P469" s="93">
        <f t="shared" ca="1" si="208"/>
        <v>22.742965747414484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260973</v>
      </c>
      <c r="M470" s="497">
        <f t="shared" ca="1" si="210"/>
        <v>260973</v>
      </c>
      <c r="N470" s="497">
        <f t="shared" si="210"/>
        <v>59353</v>
      </c>
      <c r="O470" s="497">
        <f t="shared" ca="1" si="207"/>
        <v>22.742965747414484</v>
      </c>
      <c r="P470" s="497">
        <f t="shared" ca="1" si="208"/>
        <v>22.742965747414484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IFERROR(__xludf.DUMMYFUNCTION("IMPORTRANGE(""https://docs.google.com/spreadsheets/d/1QqKyyYR6Q21VydFLVH3TRQUabQu_ym0Zz7PgGX0-kHA/edit?usp=sharing"",""แผน!FS43"")"),260973)</f>
        <v>260973</v>
      </c>
      <c r="M472" s="93">
        <f ca="1">L472</f>
        <v>260973</v>
      </c>
      <c r="N472" s="93">
        <f>N473+N474+N475+N476</f>
        <v>59353</v>
      </c>
      <c r="O472" s="93">
        <f t="shared" ca="1" si="207"/>
        <v>22.742965747414484</v>
      </c>
      <c r="P472" s="93">
        <f t="shared" ca="1" si="208"/>
        <v>22.742965747414484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36753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15070+307+7223</f>
        <v>22600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87155</v>
      </c>
      <c r="J543" s="685">
        <f t="shared" si="235"/>
        <v>87155.307499999995</v>
      </c>
      <c r="K543" s="686">
        <f t="shared" ca="1" si="234"/>
        <v>100.00035281968906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421879</v>
      </c>
      <c r="M544" s="155">
        <f t="shared" ca="1" si="236"/>
        <v>421879</v>
      </c>
      <c r="N544" s="155">
        <f t="shared" si="236"/>
        <v>211690.6</v>
      </c>
      <c r="O544" s="155">
        <f t="shared" ref="O544:O549" ca="1" si="237">IF(L544&gt;0,N544*100/L544,0)</f>
        <v>50.178036830465608</v>
      </c>
      <c r="P544" s="155">
        <f t="shared" ref="P544:P549" ca="1" si="238">IF(M544&gt;0,N544*100/M544,0)</f>
        <v>50.178036830465608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421879</v>
      </c>
      <c r="M546" s="93">
        <f t="shared" ca="1" si="240"/>
        <v>421879</v>
      </c>
      <c r="N546" s="93">
        <f t="shared" si="240"/>
        <v>211690.6</v>
      </c>
      <c r="O546" s="93">
        <f t="shared" ca="1" si="237"/>
        <v>50.178036830465608</v>
      </c>
      <c r="P546" s="93">
        <f t="shared" ca="1" si="238"/>
        <v>50.178036830465608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421879</v>
      </c>
      <c r="M547" s="497">
        <f t="shared" ca="1" si="241"/>
        <v>421879</v>
      </c>
      <c r="N547" s="497">
        <f t="shared" si="241"/>
        <v>211690.6</v>
      </c>
      <c r="O547" s="497">
        <f t="shared" ca="1" si="237"/>
        <v>50.178036830465608</v>
      </c>
      <c r="P547" s="497">
        <f t="shared" ca="1" si="238"/>
        <v>50.178036830465608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IFERROR(__xludf.DUMMYFUNCTION("IMPORTRANGE(""https://docs.google.com/spreadsheets/d/1QqKyyYR6Q21VydFLVH3TRQUabQu_ym0Zz7PgGX0-kHA/edit?usp=sharing"",""แผน!HB43"")"),421879)</f>
        <v>421879</v>
      </c>
      <c r="M549" s="93">
        <f ca="1">L549</f>
        <v>421879</v>
      </c>
      <c r="N549" s="93">
        <f>N550+N551+N552+N553+N554</f>
        <v>211690.6</v>
      </c>
      <c r="O549" s="93">
        <f t="shared" ca="1" si="237"/>
        <v>50.178036830465608</v>
      </c>
      <c r="P549" s="93">
        <f t="shared" ca="1" si="238"/>
        <v>50.178036830465608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63268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211690.6-N552</f>
        <v>148422.6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87155</v>
      </c>
      <c r="J559" s="706">
        <f t="shared" si="245"/>
        <v>87155.307499999995</v>
      </c>
      <c r="K559" s="675">
        <f t="shared" ref="K559:K561" ca="1" si="246">IF(I559&gt;0,J559*100/I559,0)</f>
        <v>100.00035281968906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IFERROR(__xludf.DUMMYFUNCTION("IMPORTRANGE(""https://docs.google.com/spreadsheets/d/1QqKyyYR6Q21VydFLVH3TRQUabQu_ym0Zz7PgGX0-kHA/edit?usp=sharing"",""แผน!HH43"")"),87155)</f>
        <v>87155</v>
      </c>
      <c r="J560" s="193">
        <f t="shared" ref="J560:J561" si="247">J562+J564+J566</f>
        <v>87155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IFERROR(__xludf.DUMMYFUNCTION("IMPORTRANGE(""https://docs.google.com/spreadsheets/d/1QqKyyYR6Q21VydFLVH3TRQUabQu_ym0Zz7PgGX0-kHA/edit?usp=sharing"",""แผน!HG43"")"),9269)</f>
        <v>9269</v>
      </c>
      <c r="J561" s="193">
        <f t="shared" si="247"/>
        <v>9250</v>
      </c>
      <c r="K561" s="411">
        <f t="shared" ca="1" si="246"/>
        <v>99.795015643542996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77490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8474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8915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750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IFERROR(__xludf.DUMMYFUNCTION("IMPORTRANGE(""https://docs.google.com/spreadsheets/d/1QqKyyYR6Q21VydFLVH3TRQUabQu_ym0Zz7PgGX0-kHA/edit?usp=sharing"",""แผน!HH43"")"),87155)</f>
        <v>87155</v>
      </c>
      <c r="J568" s="679">
        <f t="shared" ref="J568:J569" si="248">J570+J572+J574</f>
        <v>87155.307499999995</v>
      </c>
      <c r="K568" s="411">
        <f t="shared" ref="K568:K569" ca="1" si="249">IF(I568&gt;0,J568*100/I568,0)</f>
        <v>100.00035281968906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IFERROR(__xludf.DUMMYFUNCTION("IMPORTRANGE(""https://docs.google.com/spreadsheets/d/1QqKyyYR6Q21VydFLVH3TRQUabQu_ym0Zz7PgGX0-kHA/edit?usp=sharing"",""แผน!HG43"")"),9269)</f>
        <v>9269</v>
      </c>
      <c r="J569" s="679">
        <f t="shared" si="248"/>
        <v>9250</v>
      </c>
      <c r="K569" s="411">
        <f t="shared" ca="1" si="249"/>
        <v>99.795015643542996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78529.372499999998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8546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6754.8050000000003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483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1871.13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221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IFERROR(__xludf.DUMMYFUNCTION("IMPORTRANGE(""https://docs.google.com/spreadsheets/d/1QqKyyYR6Q21VydFLVH3TRQUabQu_ym0Zz7PgGX0-kHA/edit?usp=sharing"",""แผน!HH43"")"),87155)</f>
        <v>87155</v>
      </c>
      <c r="J576" s="679">
        <f t="shared" ref="J576:J577" si="250">J578+J580+J582+J588+J590</f>
        <v>87155.307499999995</v>
      </c>
      <c r="K576" s="411">
        <f t="shared" ref="K576:K577" ca="1" si="251">IF(I576&gt;0,J576*100/I576,0)</f>
        <v>100.00035281968906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IFERROR(__xludf.DUMMYFUNCTION("IMPORTRANGE(""https://docs.google.com/spreadsheets/d/1QqKyyYR6Q21VydFLVH3TRQUabQu_ym0Zz7PgGX0-kHA/edit?usp=sharing"",""แผน!HG43"")"),9269)</f>
        <v>9269</v>
      </c>
      <c r="J577" s="679">
        <f t="shared" si="250"/>
        <v>9250</v>
      </c>
      <c r="K577" s="411">
        <f t="shared" ca="1" si="251"/>
        <v>99.795015643542996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78529.372499999998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8546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6754.8050000000003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483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1871.1299999999999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221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1848.6125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220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22.517499999999998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705.7</v>
      </c>
      <c r="J592" s="706">
        <f t="shared" si="253"/>
        <v>54</v>
      </c>
      <c r="K592" s="675">
        <f t="shared" ref="K592:K594" ca="1" si="254">IF(I592&gt;0,J592*100/I592,0)</f>
        <v>7.651976760663171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IFERROR(__xludf.DUMMYFUNCTION("IMPORTRANGE(""https://docs.google.com/spreadsheets/d/1QqKyyYR6Q21VydFLVH3TRQUabQu_ym0Zz7PgGX0-kHA/edit?usp=sharing"",""แผน!HJ43"")"),705.7)</f>
        <v>705.7</v>
      </c>
      <c r="J593" s="193">
        <f t="shared" ref="J593:J594" si="255">J595+J603+J609</f>
        <v>54</v>
      </c>
      <c r="K593" s="411">
        <f t="shared" ca="1" si="254"/>
        <v>7.651976760663171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IFERROR(__xludf.DUMMYFUNCTION("IMPORTRANGE(""https://docs.google.com/spreadsheets/d/1QqKyyYR6Q21VydFLVH3TRQUabQu_ym0Zz7PgGX0-kHA/edit?usp=sharing"",""แผน!HI43"")"),32)</f>
        <v>32</v>
      </c>
      <c r="J594" s="193">
        <f t="shared" si="255"/>
        <v>7</v>
      </c>
      <c r="K594" s="411">
        <f t="shared" ca="1" si="254"/>
        <v>21.875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54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44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IFERROR(__xludf.DUMMYFUNCTION("IMPORTRANGE(""https://docs.google.com/spreadsheets/d/1QqKyyYR6Q21VydFLVH3TRQUabQu_ym0Zz7PgGX0-kHA/edit?usp=sharing"",""แผน!HL43"")"),465)</f>
        <v>465</v>
      </c>
      <c r="J620" s="726">
        <f t="shared" ref="J620:J621" si="260">J622+J624+J626</f>
        <v>465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IFERROR(__xludf.DUMMYFUNCTION("IMPORTRANGE(""https://docs.google.com/spreadsheets/d/1QqKyyYR6Q21VydFLVH3TRQUabQu_ym0Zz7PgGX0-kHA/edit?usp=sharing"",""แผน!HK43"")"),37)</f>
        <v>37</v>
      </c>
      <c r="J621" s="726">
        <f t="shared" si="260"/>
        <v>37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292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171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2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1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60</v>
      </c>
      <c r="K628" s="740">
        <f ca="1">IF(I628&gt;0,J628*100/I628,0)</f>
        <v>24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454240</v>
      </c>
      <c r="M629" s="195">
        <f t="shared" ca="1" si="263"/>
        <v>454240</v>
      </c>
      <c r="N629" s="195">
        <f t="shared" si="263"/>
        <v>204218.07</v>
      </c>
      <c r="O629" s="195">
        <f t="shared" ref="O629:O634" ca="1" si="264">IF(L629&gt;0,N629*100/L629,0)</f>
        <v>44.958187301866857</v>
      </c>
      <c r="P629" s="195">
        <f t="shared" ref="P629:P634" ca="1" si="265">IF(M629&gt;0,N629*100/M629,0)</f>
        <v>44.958187301866857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454240</v>
      </c>
      <c r="M631" s="93">
        <f t="shared" ca="1" si="266"/>
        <v>454240</v>
      </c>
      <c r="N631" s="93">
        <f t="shared" si="266"/>
        <v>204218.07</v>
      </c>
      <c r="O631" s="93">
        <f t="shared" ca="1" si="264"/>
        <v>44.958187301866857</v>
      </c>
      <c r="P631" s="93">
        <f t="shared" ca="1" si="265"/>
        <v>44.958187301866857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454240</v>
      </c>
      <c r="M632" s="497">
        <f t="shared" ca="1" si="267"/>
        <v>454240</v>
      </c>
      <c r="N632" s="497">
        <f t="shared" si="267"/>
        <v>204218.07</v>
      </c>
      <c r="O632" s="497">
        <f t="shared" ca="1" si="264"/>
        <v>44.958187301866857</v>
      </c>
      <c r="P632" s="497">
        <f t="shared" ca="1" si="265"/>
        <v>44.958187301866857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IFERROR(__xludf.DUMMYFUNCTION("IMPORTRANGE(""https://docs.google.com/spreadsheets/d/1QqKyyYR6Q21VydFLVH3TRQUabQu_ym0Zz7PgGX0-kHA/edit?usp=sharing"",""แผน!HN43"")"),454240)</f>
        <v>454240</v>
      </c>
      <c r="M634" s="93">
        <f ca="1">L634</f>
        <v>454240</v>
      </c>
      <c r="N634" s="93">
        <f>N635+N636+N637+N638</f>
        <v>204218.07</v>
      </c>
      <c r="O634" s="93">
        <f t="shared" ca="1" si="264"/>
        <v>44.958187301866857</v>
      </c>
      <c r="P634" s="93">
        <f t="shared" ca="1" si="265"/>
        <v>44.958187301866857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76701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204218.07-76701</f>
        <v>127517.07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IFERROR(__xludf.DUMMYFUNCTION("IMPORTRANGE(""https://docs.google.com/spreadsheets/d/1XWAQStnk-4SwqDmLtmXYiTMKHgktTP8We1SCoS47DrQ/edit?usp=sharing"",""จัดที่ดิน!AS43"")"),139)</f>
        <v>139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IFERROR(__xludf.DUMMYFUNCTION("IMPORTRANGE(""https://docs.google.com/spreadsheets/d/1XWAQStnk-4SwqDmLtmXYiTMKHgktTP8We1SCoS47DrQ/edit?usp=sharing"",""จัดที่ดิน!AT43"")"),67.47)</f>
        <v>67.47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IFERROR(__xludf.DUMMYFUNCTION("IMPORTRANGE(""https://docs.google.com/spreadsheets/d/1QqKyyYR6Q21VydFLVH3TRQUabQu_ym0Zz7PgGX0-kHA/edit?usp=sharing"",""แผน!HS43"")"),250)</f>
        <v>250</v>
      </c>
      <c r="J647" s="270">
        <f ca="1">IFERROR(__xludf.DUMMYFUNCTION("IMPORTRANGE(""https://docs.google.com/spreadsheets/d/1XWAQStnk-4SwqDmLtmXYiTMKHgktTP8We1SCoS47DrQ/edit?usp=sharing"",""จัดที่ดิน!AU43"")"),166)</f>
        <v>166</v>
      </c>
      <c r="K647" s="163">
        <f t="shared" ca="1" si="271"/>
        <v>66.400000000000006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IFERROR(__xludf.DUMMYFUNCTION("IMPORTRANGE(""https://docs.google.com/spreadsheets/d/1XWAQStnk-4SwqDmLtmXYiTMKHgktTP8We1SCoS47DrQ/edit?usp=sharing"",""จัดที่ดิน!AV43"")"),89.63)</f>
        <v>89.63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IFERROR(__xludf.DUMMYFUNCTION("IMPORTRANGE(""https://docs.google.com/spreadsheets/d/1QqKyyYR6Q21VydFLVH3TRQUabQu_ym0Zz7PgGX0-kHA/edit?usp=sharing"",""แผน!HS43"")"),250)</f>
        <v>250</v>
      </c>
      <c r="J649" s="270">
        <f ca="1">IFERROR(__xludf.DUMMYFUNCTION("IMPORTRANGE(""https://docs.google.com/spreadsheets/d/1XWAQStnk-4SwqDmLtmXYiTMKHgktTP8We1SCoS47DrQ/edit?usp=sharing"",""จัดที่ดิน!AW43"")"),144)</f>
        <v>144</v>
      </c>
      <c r="K649" s="163">
        <f t="shared" ca="1" si="271"/>
        <v>57.6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IFERROR(__xludf.DUMMYFUNCTION("IMPORTRANGE(""https://docs.google.com/spreadsheets/d/1XWAQStnk-4SwqDmLtmXYiTMKHgktTP8We1SCoS47DrQ/edit?usp=sharing"",""จัดที่ดิน!AX43"")"),79)</f>
        <v>79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IFERROR(__xludf.DUMMYFUNCTION("IMPORTRANGE(""https://docs.google.com/spreadsheets/d/1QqKyyYR6Q21VydFLVH3TRQUabQu_ym0Zz7PgGX0-kHA/edit?usp=sharing"",""แผน!HS43"")"),250)</f>
        <v>250</v>
      </c>
      <c r="J651" s="270">
        <f ca="1">IFERROR(__xludf.DUMMYFUNCTION("IMPORTRANGE(""https://docs.google.com/spreadsheets/d/1XWAQStnk-4SwqDmLtmXYiTMKHgktTP8We1SCoS47DrQ/edit?usp=sharing"",""จัดที่ดิน!AY43"")"),60)</f>
        <v>60</v>
      </c>
      <c r="K651" s="163">
        <f t="shared" ca="1" si="271"/>
        <v>24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IFERROR(__xludf.DUMMYFUNCTION("IMPORTRANGE(""https://docs.google.com/spreadsheets/d/1XWAQStnk-4SwqDmLtmXYiTMKHgktTP8We1SCoS47DrQ/edit?usp=sharing"",""จัดที่ดิน!AZ43"")"),37.2475)</f>
        <v>37.247500000000002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14000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14000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14000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IFERROR(__xludf.DUMMYFUNCTION("IMPORTRANGE(""https://docs.google.com/spreadsheets/d/1QqKyyYR6Q21VydFLVH3TRQUabQu_ym0Zz7PgGX0-kHA/edit?usp=sharing"",""แผน!HV43"")"),14000)</f>
        <v>14000</v>
      </c>
      <c r="M660" s="93">
        <f ca="1">L660</f>
        <v>14000</v>
      </c>
      <c r="N660" s="93">
        <f>N661+N662+N663+N664</f>
        <v>14000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14000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IFERROR(__xludf.DUMMYFUNCTION("IMPORTRANGE(""https://docs.google.com/spreadsheets/d/1QqKyyYR6Q21VydFLVH3TRQUabQu_ym0Zz7PgGX0-kHA/edit?usp=sharing"",""แผน!IA43"")"),100)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IFERROR(__xludf.DUMMYFUNCTION("IMPORTRANGE(""https://docs.google.com/spreadsheets/d/1QqKyyYR6Q21VydFLVH3TRQUabQu_ym0Zz7PgGX0-kHA/edit?usp=sharing"",""แผน!HZ43"")"),5)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IFERROR(__xludf.DUMMYFUNCTION("IMPORTRANGE(""https://docs.google.com/spreadsheets/d/1QqKyyYR6Q21VydFLVH3TRQUabQu_ym0Zz7PgGX0-kHA/edit?usp=sharing"",""แผน!HZ43"")"),5)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8</v>
      </c>
      <c r="K672" s="497">
        <f t="shared" ref="K672:K675" ca="1" si="281">IF(I$669&gt;0,J672*100/I$669,0)</f>
        <v>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8</v>
      </c>
      <c r="K673" s="497">
        <f t="shared" ca="1" si="281"/>
        <v>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1480</v>
      </c>
      <c r="M685" s="195">
        <f t="shared" ca="1" si="282"/>
        <v>1480</v>
      </c>
      <c r="N685" s="195">
        <f t="shared" si="282"/>
        <v>1030</v>
      </c>
      <c r="O685" s="195">
        <f t="shared" ref="O685:O688" ca="1" si="283">IF(L685&gt;0,N685*100/L685,0)</f>
        <v>69.594594594594597</v>
      </c>
      <c r="P685" s="195">
        <f t="shared" ref="P685:P688" ca="1" si="284">IF(M685&gt;0,N685*100/M685,0)</f>
        <v>69.594594594594597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1480</v>
      </c>
      <c r="M687" s="93">
        <f t="shared" ca="1" si="285"/>
        <v>1480</v>
      </c>
      <c r="N687" s="93">
        <f t="shared" si="285"/>
        <v>1030</v>
      </c>
      <c r="O687" s="93">
        <f t="shared" ca="1" si="283"/>
        <v>69.594594594594597</v>
      </c>
      <c r="P687" s="93">
        <f t="shared" ca="1" si="284"/>
        <v>69.594594594594597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1480</v>
      </c>
      <c r="M688" s="497">
        <f t="shared" ca="1" si="286"/>
        <v>1480</v>
      </c>
      <c r="N688" s="497">
        <f t="shared" si="286"/>
        <v>1030</v>
      </c>
      <c r="O688" s="497">
        <f t="shared" ca="1" si="283"/>
        <v>69.594594594594597</v>
      </c>
      <c r="P688" s="497">
        <f t="shared" ca="1" si="284"/>
        <v>69.594594594594597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IFERROR(__xludf.DUMMYFUNCTION("IMPORTRANGE(""https://docs.google.com/spreadsheets/d/1QqKyyYR6Q21VydFLVH3TRQUabQu_ym0Zz7PgGX0-kHA/edit?usp=sharing"",""แผน!HW43"")"),1480)</f>
        <v>1480</v>
      </c>
      <c r="M690" s="93">
        <f ca="1">L690</f>
        <v>1480</v>
      </c>
      <c r="N690" s="93">
        <f>N691+N692+N693+N694</f>
        <v>1030</v>
      </c>
      <c r="O690" s="93">
        <f ca="1">IF(L690&gt;0,N690*100/L690,0)</f>
        <v>69.594594594594597</v>
      </c>
      <c r="P690" s="93">
        <f ca="1">IF(M690&gt;0,N690*100/M690,0)</f>
        <v>69.594594594594597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1030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IFERROR(__xludf.DUMMYFUNCTION("IMPORTRANGE(""https://docs.google.com/spreadsheets/d/1QqKyyYR6Q21VydFLVH3TRQUabQu_ym0Zz7PgGX0-kHA/edit?usp=sharing"",""แผน!IC43"")"),0)</f>
        <v>0</v>
      </c>
      <c r="J699" s="270">
        <f ca="1">IFERROR(__xludf.DUMMYFUNCTION("IMPORTRANGE(""https://docs.google.com/spreadsheets/d/1XWAQStnk-4SwqDmLtmXYiTMKHgktTP8We1SCoS47DrQ/edit?usp=sharing"",""จัดที่ดิน!BB43"")"),0)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IFERROR(__xludf.DUMMYFUNCTION("IMPORTRANGE(""https://docs.google.com/spreadsheets/d/1QqKyyYR6Q21VydFLVH3TRQUabQu_ym0Zz7PgGX0-kHA/edit?usp=sharing"",""แผน!ID43"")"),0)</f>
        <v>0</v>
      </c>
      <c r="J700" s="270">
        <f ca="1">IFERROR(__xludf.DUMMYFUNCTION("IMPORTRANGE(""https://docs.google.com/spreadsheets/d/1XWAQStnk-4SwqDmLtmXYiTMKHgktTP8We1SCoS47DrQ/edit?usp=sharing"",""จัดที่ดิน!BD43"")"),0)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IFERROR(__xludf.DUMMYFUNCTION("IMPORTRANGE(""https://docs.google.com/spreadsheets/d/1QqKyyYR6Q21VydFLVH3TRQUabQu_ym0Zz7PgGX0-kHA/edit?usp=sharing"",""แผน!IE43"")"),0)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IFERROR(__xludf.DUMMYFUNCTION("IMPORTRANGE(""https://docs.google.com/spreadsheets/d/1QqKyyYR6Q21VydFLVH3TRQUabQu_ym0Zz7PgGX0-kHA/edit?usp=sharing"",""แผน!IF43"")"),0)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IFERROR(__xludf.DUMMYFUNCTION("IMPORTRANGE(""https://docs.google.com/spreadsheets/d/1QqKyyYR6Q21VydFLVH3TRQUabQu_ym0Zz7PgGX0-kHA/edit?usp=sharing"",""แผน!IH43"")"),12)</f>
        <v>12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IFERROR(__xludf.DUMMYFUNCTION("IMPORTRANGE(""https://docs.google.com/spreadsheets/d/1QqKyyYR6Q21VydFLVH3TRQUabQu_ym0Zz7PgGX0-kHA/edit?usp=sharing"",""แผน!II43"")"),0)</f>
        <v>0</v>
      </c>
      <c r="J720" s="270">
        <f ca="1">IFERROR(__xludf.DUMMYFUNCTION("IMPORTRANGE(""https://docs.google.com/spreadsheets/d/1XWAQStnk-4SwqDmLtmXYiTMKHgktTP8We1SCoS47DrQ/edit?usp=sharing"",""จัดที่ดิน!BH43"")"),0)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IFERROR(__xludf.DUMMYFUNCTION("IMPORTRANGE(""https://docs.google.com/spreadsheets/d/1QqKyyYR6Q21VydFLVH3TRQUabQu_ym0Zz7PgGX0-kHA/edit?usp=sharing"",""แผน!IJ43"")"),2)</f>
        <v>2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IFERROR(__xludf.DUMMYFUNCTION("IMPORTRANGE(""https://docs.google.com/spreadsheets/d/1QqKyyYR6Q21VydFLVH3TRQUabQu_ym0Zz7PgGX0-kHA/edit?usp=sharing"",""แผน!IK43"")"),12)</f>
        <v>12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IFERROR(__xludf.DUMMYFUNCTION("IMPORTRANGE(""https://docs.google.com/spreadsheets/d/1QqKyyYR6Q21VydFLVH3TRQUabQu_ym0Zz7PgGX0-kHA/edit?usp=sharing"",""แผน!IL43"")"),2)</f>
        <v>2</v>
      </c>
      <c r="J723" s="270">
        <f ca="1">IFERROR(__xludf.DUMMYFUNCTION("IMPORTRANGE(""https://docs.google.com/spreadsheets/d/1XWAQStnk-4SwqDmLtmXYiTMKHgktTP8We1SCoS47DrQ/edit?usp=sharing"",""จัดที่ดิน!BM43"")"),0)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IFERROR(__xludf.DUMMYFUNCTION("IMPORTRANGE(""https://docs.google.com/spreadsheets/d/1XWAQStnk-4SwqDmLtmXYiTMKHgktTP8We1SCoS47DrQ/edit?usp=sharing"",""จัดที่ดิน!BN43"")"),0)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IFERROR(__xludf.DUMMYFUNCTION("IMPORTRANGE(""https://docs.google.com/spreadsheets/d/1QqKyyYR6Q21VydFLVH3TRQUabQu_ym0Zz7PgGX0-kHA/edit?usp=sharing"",""แผน!IM43"")"),12)</f>
        <v>12</v>
      </c>
      <c r="J725" s="270">
        <f ca="1">IFERROR(__xludf.DUMMYFUNCTION("IMPORTRANGE(""https://docs.google.com/spreadsheets/d/1XWAQStnk-4SwqDmLtmXYiTMKHgktTP8We1SCoS47DrQ/edit?usp=sharing"",""จัดที่ดิน!BO43"")"),0)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IFERROR(__xludf.DUMMYFUNCTION("IMPORTRANGE(""https://docs.google.com/spreadsheets/d/1QqKyyYR6Q21VydFLVH3TRQUabQu_ym0Zz7PgGX0-kHA/edit?usp=sharing"",""แผน!IN43"")"),0)</f>
        <v>0</v>
      </c>
      <c r="J726" s="270">
        <f ca="1">IFERROR(__xludf.DUMMYFUNCTION("IMPORTRANGE(""https://docs.google.com/spreadsheets/d/1XWAQStnk-4SwqDmLtmXYiTMKHgktTP8We1SCoS47DrQ/edit?usp=sharing"",""จัดที่ดิน!BR43"")"),0)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IFERROR(__xludf.DUMMYFUNCTION("IMPORTRANGE(""https://docs.google.com/spreadsheets/d/1QqKyyYR6Q21VydFLVH3TRQUabQu_ym0Zz7PgGX0-kHA/edit?usp=sharing"",""แผน!IO43"")"),0)</f>
        <v>0</v>
      </c>
      <c r="J728" s="270">
        <f ca="1">IFERROR(__xludf.DUMMYFUNCTION("IMPORTRANGE(""https://docs.google.com/spreadsheets/d/1XWAQStnk-4SwqDmLtmXYiTMKHgktTP8We1SCoS47DrQ/edit?usp=sharing"",""จัดที่ดิน!BT43"")"),0)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1105</v>
      </c>
      <c r="K785" s="806">
        <f ca="1">IF(I785&gt;0,J785*100/I785,0)</f>
        <v>22.1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327200</v>
      </c>
      <c r="M786" s="195">
        <f t="shared" ca="1" si="319"/>
        <v>327200</v>
      </c>
      <c r="N786" s="195">
        <f t="shared" si="319"/>
        <v>157619.59</v>
      </c>
      <c r="O786" s="195">
        <f t="shared" ref="O786:O791" ca="1" si="320">IF(L786&gt;0,N786*100/L786,0)</f>
        <v>48.172246332518334</v>
      </c>
      <c r="P786" s="195">
        <f t="shared" ref="P786:P791" ca="1" si="321">IF(M786&gt;0,N786*100/M786,0)</f>
        <v>48.172246332518334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327200</v>
      </c>
      <c r="M788" s="93">
        <f t="shared" ca="1" si="322"/>
        <v>327200</v>
      </c>
      <c r="N788" s="93">
        <f t="shared" si="322"/>
        <v>157619.59</v>
      </c>
      <c r="O788" s="93">
        <f t="shared" ca="1" si="320"/>
        <v>48.172246332518334</v>
      </c>
      <c r="P788" s="93">
        <f t="shared" ca="1" si="321"/>
        <v>48.172246332518334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327200</v>
      </c>
      <c r="M789" s="497">
        <f t="shared" ca="1" si="323"/>
        <v>327200</v>
      </c>
      <c r="N789" s="497">
        <f t="shared" si="323"/>
        <v>157619.59</v>
      </c>
      <c r="O789" s="497">
        <f t="shared" ca="1" si="320"/>
        <v>48.172246332518334</v>
      </c>
      <c r="P789" s="497">
        <f t="shared" ca="1" si="321"/>
        <v>48.172246332518334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IFERROR(__xludf.DUMMYFUNCTION("IMPORTRANGE(""https://docs.google.com/spreadsheets/d/1QqKyyYR6Q21VydFLVH3TRQUabQu_ym0Zz7PgGX0-kHA/edit?usp=sharing"",""แผน!JJ43"")"),327200)</f>
        <v>327200</v>
      </c>
      <c r="M791" s="93">
        <f ca="1">L791</f>
        <v>327200</v>
      </c>
      <c r="N791" s="93">
        <f>N792+N793+N794+N795</f>
        <v>157619.59</v>
      </c>
      <c r="O791" s="93">
        <f t="shared" ca="1" si="320"/>
        <v>48.172246332518334</v>
      </c>
      <c r="P791" s="93">
        <f t="shared" ca="1" si="321"/>
        <v>48.172246332518334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73247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157619.59-73247</f>
        <v>84372.59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IFERROR(__xludf.DUMMYFUNCTION("IMPORTRANGE(""https://docs.google.com/spreadsheets/d/1MaWodYyGHDf7siQLGxnXhG4mBNTNIuy296niS2xXulU/edit?usp=sharing"",""RTK!H43"")"),96)</f>
        <v>96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IFERROR(__xludf.DUMMYFUNCTION("IMPORTRANGE(""https://docs.google.com/spreadsheets/d/1MaWodYyGHDf7siQLGxnXhG4mBNTNIuy296niS2xXulU/edit?usp=sharing"",""RTK!G43"")"),5000)</f>
        <v>5000</v>
      </c>
      <c r="J801" s="820">
        <f ca="1">IFERROR(__xludf.DUMMYFUNCTION("IMPORTRANGE(""https://docs.google.com/spreadsheets/d/1MaWodYyGHDf7siQLGxnXhG4mBNTNIuy296niS2xXulU/edit?usp=sharing"",""RTK!I43"")"),1105)</f>
        <v>1105</v>
      </c>
      <c r="K801" s="821">
        <f ca="1">IF(I801&gt;0,J801*100/I801,0)</f>
        <v>22.1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IFERROR(__xludf.DUMMYFUNCTION("IMPORTRANGE(""https://docs.google.com/spreadsheets/d/1MaWodYyGHDf7siQLGxnXhG4mBNTNIuy296niS2xXulU/edit?usp=sharing"",""RTK!L43"")"),0)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IFERROR(__xludf.DUMMYFUNCTION("IMPORTRANGE(""https://docs.google.com/spreadsheets/d/1MaWodYyGHDf7siQLGxnXhG4mBNTNIuy296niS2xXulU/edit?usp=sharing"",""RTK!K43"")"),0)</f>
        <v>0</v>
      </c>
      <c r="J803" s="820">
        <f ca="1">IFERROR(__xludf.DUMMYFUNCTION("IMPORTRANGE(""https://docs.google.com/spreadsheets/d/1MaWodYyGHDf7siQLGxnXhG4mBNTNIuy296niS2xXulU/edit?usp=sharing"",""RTK!M43"")"),0)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270">
        <f ca="1">IFERROR(__xludf.DUMMYFUNCTION("IMPORTRANGE(""https://docs.google.com/spreadsheets/d/19vJNZY_5yjcGF2XGBMNZRCAIB0Kwfpjp8YEOfu-bneM/edit?usp=sharing"",""งานกองทุน!F43"")"),12045690.22)</f>
        <v>12045690.220000001</v>
      </c>
      <c r="K821" s="497">
        <f t="shared" ref="K821:K828" ca="1" si="336">IF(I821&gt;0,J821*100/I821,0)</f>
        <v>84.675611753901947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IFERROR(__xludf.DUMMYFUNCTION("IMPORTRANGE(""https://docs.google.com/spreadsheets/d/19vJNZY_5yjcGF2XGBMNZRCAIB0Kwfpjp8YEOfu-bneM/edit?usp=sharing"",""งานกองทุน!C43"")"),297)</f>
        <v>297</v>
      </c>
      <c r="J822" s="270">
        <f ca="1">IFERROR(__xludf.DUMMYFUNCTION("IMPORTRANGE(""https://docs.google.com/spreadsheets/d/19vJNZY_5yjcGF2XGBMNZRCAIB0Kwfpjp8YEOfu-bneM/edit?usp=sharing"",""งานกองทุน!E43"")"),253)</f>
        <v>253</v>
      </c>
      <c r="K822" s="497">
        <f t="shared" ca="1" si="336"/>
        <v>85.18518518518519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270">
        <f ca="1">IFERROR(__xludf.DUMMYFUNCTION("IMPORTRANGE(""https://docs.google.com/spreadsheets/d/19vJNZY_5yjcGF2XGBMNZRCAIB0Kwfpjp8YEOfu-bneM/edit?usp=sharing"",""งานกองทุน!K43"")"),991554.23)</f>
        <v>991554.23</v>
      </c>
      <c r="K823" s="497">
        <f t="shared" ca="1" si="336"/>
        <v>6.9136944380288927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IFERROR(__xludf.DUMMYFUNCTION("IMPORTRANGE(""https://docs.google.com/spreadsheets/d/19vJNZY_5yjcGF2XGBMNZRCAIB0Kwfpjp8YEOfu-bneM/edit?usp=sharing"",""งานกองทุน!H43"")"),407)</f>
        <v>407</v>
      </c>
      <c r="J824" s="270">
        <f ca="1">IFERROR(__xludf.DUMMYFUNCTION("IMPORTRANGE(""https://docs.google.com/spreadsheets/d/19vJNZY_5yjcGF2XGBMNZRCAIB0Kwfpjp8YEOfu-bneM/edit?usp=sharing"",""งานกองทุน!J43"")"),147)</f>
        <v>147</v>
      </c>
      <c r="K824" s="497">
        <f t="shared" ca="1" si="336"/>
        <v>36.117936117936118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IFERROR(__xludf.DUMMYFUNCTION("IMPORTRANGE(""https://docs.google.com/spreadsheets/d/19vJNZY_5yjcGF2XGBMNZRCAIB0Kwfpjp8YEOfu-bneM/edit?usp=sharing"",""งานกองทุน!N43"")"),6779.25)</f>
        <v>6779.25</v>
      </c>
      <c r="J825" s="270">
        <f ca="1">IFERROR(__xludf.DUMMYFUNCTION("IMPORTRANGE(""https://docs.google.com/spreadsheets/d/19vJNZY_5yjcGF2XGBMNZRCAIB0Kwfpjp8YEOfu-bneM/edit?usp=sharing"",""งานกองทุน!P43"")"),5309.25)</f>
        <v>5309.25</v>
      </c>
      <c r="K825" s="497">
        <f t="shared" ca="1" si="336"/>
        <v>78.316185418741014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IFERROR(__xludf.DUMMYFUNCTION("IMPORTRANGE(""https://docs.google.com/spreadsheets/d/19vJNZY_5yjcGF2XGBMNZRCAIB0Kwfpjp8YEOfu-bneM/edit?usp=sharing"",""งานกองทุน!M43"")"),4)</f>
        <v>4</v>
      </c>
      <c r="J826" s="270">
        <f ca="1">IFERROR(__xludf.DUMMYFUNCTION("IMPORTRANGE(""https://docs.google.com/spreadsheets/d/19vJNZY_5yjcGF2XGBMNZRCAIB0Kwfpjp8YEOfu-bneM/edit?usp=sharing"",""งานกองทุน!O43"")"),3)</f>
        <v>3</v>
      </c>
      <c r="K826" s="497">
        <f t="shared" ca="1" si="336"/>
        <v>75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IFERROR(__xludf.DUMMYFUNCTION("IMPORTRANGE(""https://docs.google.com/spreadsheets/d/19vJNZY_5yjcGF2XGBMNZRCAIB0Kwfpjp8YEOfu-bneM/edit?usp=sharing"",""งานกองทุน!S43"")"),13430000)</f>
        <v>13430000</v>
      </c>
      <c r="J827" s="270">
        <f ca="1">IFERROR(__xludf.DUMMYFUNCTION("IMPORTRANGE(""https://docs.google.com/spreadsheets/d/19vJNZY_5yjcGF2XGBMNZRCAIB0Kwfpjp8YEOfu-bneM/edit?usp=sharing"",""งานกองทุน!U43"")"),10700000)</f>
        <v>10700000</v>
      </c>
      <c r="K827" s="497">
        <f t="shared" ca="1" si="336"/>
        <v>79.672375279225619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IFERROR(__xludf.DUMMYFUNCTION("IMPORTRANGE(""https://docs.google.com/spreadsheets/d/19vJNZY_5yjcGF2XGBMNZRCAIB0Kwfpjp8YEOfu-bneM/edit?usp=sharing"",""งานกองทุน!R43"")"),537)</f>
        <v>537</v>
      </c>
      <c r="J828" s="504">
        <f ca="1">IFERROR(__xludf.DUMMYFUNCTION("IMPORTRANGE(""https://docs.google.com/spreadsheets/d/19vJNZY_5yjcGF2XGBMNZRCAIB0Kwfpjp8YEOfu-bneM/edit?usp=sharing"",""งานกองทุน!T43"")"),214)</f>
        <v>214</v>
      </c>
      <c r="K828" s="505">
        <f t="shared" ca="1" si="336"/>
        <v>39.851024208566109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72299-6F14-4621-BE7C-552D703C9325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7.85546875" bestFit="1" customWidth="1"/>
    <col min="10" max="10" width="16.140625" bestFit="1" customWidth="1"/>
    <col min="11" max="11" width="12.5703125" customWidth="1"/>
    <col min="12" max="12" width="23" bestFit="1" customWidth="1"/>
    <col min="13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11580154</v>
      </c>
      <c r="M8" s="22">
        <f t="shared" ca="1" si="0"/>
        <v>9505292.9299999997</v>
      </c>
      <c r="N8" s="22">
        <f t="shared" ca="1" si="0"/>
        <v>6580728.0499999998</v>
      </c>
      <c r="O8" s="22">
        <f t="shared" ref="O8:O16" ca="1" si="1">IF(L8&gt;0,N8*100/L8,0)</f>
        <v>56.827638475274163</v>
      </c>
      <c r="P8" s="22">
        <f t="shared" ref="P8:P16" ca="1" si="2">IF(M8&gt;0,N8*100/M8,0)</f>
        <v>69.232248795093156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11580154</v>
      </c>
      <c r="M10" s="30">
        <f t="shared" ca="1" si="3"/>
        <v>9505292.9299999997</v>
      </c>
      <c r="N10" s="30">
        <f t="shared" ca="1" si="3"/>
        <v>6580728.0499999998</v>
      </c>
      <c r="O10" s="30">
        <f t="shared" ca="1" si="1"/>
        <v>56.827638475274163</v>
      </c>
      <c r="P10" s="30">
        <f t="shared" ca="1" si="2"/>
        <v>69.232248795093156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7439754</v>
      </c>
      <c r="M11" s="497">
        <f t="shared" ca="1" si="4"/>
        <v>6449598.1200000001</v>
      </c>
      <c r="N11" s="497">
        <f t="shared" ca="1" si="4"/>
        <v>3525033.2399999998</v>
      </c>
      <c r="O11" s="497">
        <f t="shared" ca="1" si="1"/>
        <v>47.381045663606621</v>
      </c>
      <c r="P11" s="497">
        <f t="shared" ca="1" si="2"/>
        <v>54.655083532553498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7439754</v>
      </c>
      <c r="M13" s="93">
        <f t="shared" ca="1" si="5"/>
        <v>6449598.1200000001</v>
      </c>
      <c r="N13" s="93">
        <f t="shared" ca="1" si="5"/>
        <v>3525033.2399999998</v>
      </c>
      <c r="O13" s="93">
        <f t="shared" ca="1" si="1"/>
        <v>47.381045663606621</v>
      </c>
      <c r="P13" s="93">
        <f t="shared" ca="1" si="2"/>
        <v>54.655083532553498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4140400</v>
      </c>
      <c r="M14" s="497">
        <f t="shared" ca="1" si="6"/>
        <v>3055694.81</v>
      </c>
      <c r="N14" s="497">
        <f t="shared" ca="1" si="6"/>
        <v>3055694.81</v>
      </c>
      <c r="O14" s="497">
        <f t="shared" ca="1" si="1"/>
        <v>73.801922761085891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4140400</v>
      </c>
      <c r="M16" s="52">
        <f t="shared" ca="1" si="7"/>
        <v>3055694.81</v>
      </c>
      <c r="N16" s="52">
        <f t="shared" ca="1" si="7"/>
        <v>3055694.81</v>
      </c>
      <c r="O16" s="52">
        <f t="shared" ca="1" si="1"/>
        <v>73.801922761085891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9264283</v>
      </c>
      <c r="M18" s="22">
        <f t="shared" ca="1" si="8"/>
        <v>7189421.9299999997</v>
      </c>
      <c r="N18" s="22">
        <f t="shared" ca="1" si="8"/>
        <v>5906512.9499999993</v>
      </c>
      <c r="O18" s="22">
        <f t="shared" ref="O18:O26" ca="1" si="9">IF(L18&gt;0,N18*100/L18,0)</f>
        <v>63.755748286186844</v>
      </c>
      <c r="P18" s="22">
        <f t="shared" ref="P18:P26" ca="1" si="10">IF(M18&gt;0,N18*100/M18,0)</f>
        <v>82.155603155704611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9264283</v>
      </c>
      <c r="M20" s="30">
        <f t="shared" ca="1" si="11"/>
        <v>7189421.9299999997</v>
      </c>
      <c r="N20" s="30">
        <f t="shared" ca="1" si="11"/>
        <v>5906512.9499999993</v>
      </c>
      <c r="O20" s="30">
        <f t="shared" ca="1" si="9"/>
        <v>63.755748286186844</v>
      </c>
      <c r="P20" s="30">
        <f t="shared" ca="1" si="10"/>
        <v>82.155603155704611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5123883</v>
      </c>
      <c r="M21" s="497">
        <f t="shared" ca="1" si="12"/>
        <v>4133727.12</v>
      </c>
      <c r="N21" s="497">
        <f t="shared" ca="1" si="12"/>
        <v>2850818.1399999997</v>
      </c>
      <c r="O21" s="497">
        <f t="shared" ca="1" si="9"/>
        <v>55.637846141295562</v>
      </c>
      <c r="P21" s="497">
        <f t="shared" ca="1" si="10"/>
        <v>68.964836266211961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5123883</v>
      </c>
      <c r="M23" s="93">
        <f t="shared" ca="1" si="13"/>
        <v>4133727.12</v>
      </c>
      <c r="N23" s="93">
        <f t="shared" ca="1" si="13"/>
        <v>2850818.1399999997</v>
      </c>
      <c r="O23" s="93">
        <f t="shared" ca="1" si="9"/>
        <v>55.637846141295562</v>
      </c>
      <c r="P23" s="93">
        <f t="shared" ca="1" si="10"/>
        <v>68.964836266211961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4140400</v>
      </c>
      <c r="M24" s="497">
        <f t="shared" ca="1" si="14"/>
        <v>3055694.81</v>
      </c>
      <c r="N24" s="497">
        <f t="shared" ca="1" si="14"/>
        <v>3055694.81</v>
      </c>
      <c r="O24" s="497">
        <f t="shared" ca="1" si="9"/>
        <v>73.801922761085891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4140400</v>
      </c>
      <c r="M26" s="52">
        <f t="shared" ca="1" si="15"/>
        <v>3055694.81</v>
      </c>
      <c r="N26" s="52">
        <f t="shared" ca="1" si="15"/>
        <v>3055694.81</v>
      </c>
      <c r="O26" s="52">
        <f t="shared" ca="1" si="9"/>
        <v>73.801922761085891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2315871</v>
      </c>
      <c r="M28" s="22">
        <f t="shared" ca="1" si="16"/>
        <v>2315871</v>
      </c>
      <c r="N28" s="22">
        <f t="shared" si="16"/>
        <v>674215.1</v>
      </c>
      <c r="O28" s="22">
        <f t="shared" ref="O28:O37" ca="1" si="17">IF(L28&gt;0,N28*100/L28,0)</f>
        <v>29.112808960430005</v>
      </c>
      <c r="P28" s="22">
        <f t="shared" ref="P28:P37" ca="1" si="18">IF(M28&gt;0,N28*100/M28,0)</f>
        <v>29.112808960430005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2315871</v>
      </c>
      <c r="M30" s="30">
        <f t="shared" ca="1" si="19"/>
        <v>2315871</v>
      </c>
      <c r="N30" s="30">
        <f t="shared" si="19"/>
        <v>674215.1</v>
      </c>
      <c r="O30" s="30">
        <f t="shared" ca="1" si="17"/>
        <v>29.112808960430005</v>
      </c>
      <c r="P30" s="30">
        <f t="shared" ca="1" si="18"/>
        <v>29.112808960430005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2315871</v>
      </c>
      <c r="M31" s="497">
        <f t="shared" ca="1" si="20"/>
        <v>2315871</v>
      </c>
      <c r="N31" s="497">
        <f t="shared" si="20"/>
        <v>674215.1</v>
      </c>
      <c r="O31" s="497">
        <f t="shared" ca="1" si="17"/>
        <v>29.112808960430005</v>
      </c>
      <c r="P31" s="497">
        <f t="shared" ca="1" si="18"/>
        <v>29.112808960430005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2315871</v>
      </c>
      <c r="M33" s="93">
        <f t="shared" ca="1" si="21"/>
        <v>2315871</v>
      </c>
      <c r="N33" s="93">
        <f t="shared" si="21"/>
        <v>674215.1</v>
      </c>
      <c r="O33" s="93">
        <f t="shared" ca="1" si="17"/>
        <v>29.112808960430005</v>
      </c>
      <c r="P33" s="93">
        <f t="shared" ca="1" si="18"/>
        <v>29.112808960430005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9264283</v>
      </c>
      <c r="M37" s="870">
        <f t="shared" ca="1" si="24"/>
        <v>7189421.9299999997</v>
      </c>
      <c r="N37" s="870">
        <f t="shared" ca="1" si="24"/>
        <v>5906512.9499999993</v>
      </c>
      <c r="O37" s="870">
        <f t="shared" ca="1" si="17"/>
        <v>63.755748286186844</v>
      </c>
      <c r="P37" s="870">
        <f t="shared" ca="1" si="18"/>
        <v>82.155603155704611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704288</v>
      </c>
      <c r="M41" s="85">
        <f t="shared" ca="1" si="25"/>
        <v>728362.12</v>
      </c>
      <c r="N41" s="85">
        <f t="shared" ca="1" si="25"/>
        <v>500540.66</v>
      </c>
      <c r="O41" s="85">
        <f t="shared" ref="O41:O49" ca="1" si="26">IF(L41&gt;0,N41*100/L41,0)</f>
        <v>71.070451292653004</v>
      </c>
      <c r="P41" s="85">
        <f t="shared" ref="P41:P49" ca="1" si="27">IF(M41&gt;0,N41*100/M41,0)</f>
        <v>68.721401931226183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704288</v>
      </c>
      <c r="M43" s="92">
        <f t="shared" ca="1" si="28"/>
        <v>728362.12</v>
      </c>
      <c r="N43" s="92">
        <f t="shared" ca="1" si="28"/>
        <v>500540.66</v>
      </c>
      <c r="O43" s="92">
        <f t="shared" ca="1" si="26"/>
        <v>71.070451292653004</v>
      </c>
      <c r="P43" s="92">
        <f t="shared" ca="1" si="27"/>
        <v>68.721401931226183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704288</v>
      </c>
      <c r="M44" s="497">
        <f t="shared" ca="1" si="29"/>
        <v>728362.12</v>
      </c>
      <c r="N44" s="497">
        <f t="shared" ca="1" si="29"/>
        <v>500540.66</v>
      </c>
      <c r="O44" s="497">
        <f t="shared" ca="1" si="26"/>
        <v>71.070451292653004</v>
      </c>
      <c r="P44" s="497">
        <f t="shared" ca="1" si="27"/>
        <v>68.721401931226183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IFERROR(__xludf.DUMMYFUNCTION("IMPORTRANGE(""https://docs.google.com/spreadsheets/d/1MeEWN-I1oV_STSDYn1IFDPWt_1FKiwhDph83XaGc0o0/edit?usp=sharing"",""งบพรบ!M44"")"),704288)</f>
        <v>704288</v>
      </c>
      <c r="M46" s="93">
        <f ca="1">IFERROR(__xludf.DUMMYFUNCTION("IMPORTRANGE(""https://docs.google.com/spreadsheets/d/1MeEWN-I1oV_STSDYn1IFDPWt_1FKiwhDph83XaGc0o0/edit?usp=sharing"",""งบพรบ!R44"")"),728362.12)</f>
        <v>728362.12</v>
      </c>
      <c r="N46" s="93">
        <f ca="1">IFERROR(__xludf.DUMMYFUNCTION("IMPORTRANGE(""https://docs.google.com/spreadsheets/d/1MeEWN-I1oV_STSDYn1IFDPWt_1FKiwhDph83XaGc0o0/edit?usp=sharing"",""งบพรบ!T44"")"),500540.66)</f>
        <v>500540.66</v>
      </c>
      <c r="O46" s="93">
        <f t="shared" ca="1" si="26"/>
        <v>71.070451292653004</v>
      </c>
      <c r="P46" s="93">
        <f t="shared" ca="1" si="27"/>
        <v>68.721401931226183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IFERROR(__xludf.DUMMYFUNCTION("IMPORTRANGE(""https://docs.google.com/spreadsheets/d/1MeEWN-I1oV_STSDYn1IFDPWt_1FKiwhDph83XaGc0o0/edit?usp=sharing"",""งบพรบ!P44"")"),0)</f>
        <v>0</v>
      </c>
      <c r="M49" s="52">
        <f ca="1">IFERROR(__xludf.DUMMYFUNCTION("IMPORTRANGE(""https://docs.google.com/spreadsheets/d/1MeEWN-I1oV_STSDYn1IFDPWt_1FKiwhDph83XaGc0o0/edit?usp=sharing"",""งบพรบ!S44"")"),0)</f>
        <v>0</v>
      </c>
      <c r="N49" s="52">
        <f ca="1">IFERROR(__xludf.DUMMYFUNCTION("IMPORTRANGE(""https://docs.google.com/spreadsheets/d/1MeEWN-I1oV_STSDYn1IFDPWt_1FKiwhDph83XaGc0o0/edit?usp=sharing"",""งบพรบ!U44"")"),0)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4849400</v>
      </c>
      <c r="M53" s="116">
        <f t="shared" ca="1" si="31"/>
        <v>3556544.81</v>
      </c>
      <c r="N53" s="116">
        <f t="shared" ca="1" si="31"/>
        <v>3461331.38</v>
      </c>
      <c r="O53" s="116">
        <f t="shared" ref="O53:O61" ca="1" si="32">IF(L53&gt;0,N53*100/L53,0)</f>
        <v>71.376487400503152</v>
      </c>
      <c r="P53" s="116">
        <f t="shared" ref="P53:P61" ca="1" si="33">IF(M53&gt;0,N53*100/M53,0)</f>
        <v>97.32286713407106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4849400</v>
      </c>
      <c r="M55" s="123">
        <f t="shared" ca="1" si="34"/>
        <v>3556544.81</v>
      </c>
      <c r="N55" s="123">
        <f t="shared" ca="1" si="34"/>
        <v>3461331.38</v>
      </c>
      <c r="O55" s="123">
        <f t="shared" ca="1" si="32"/>
        <v>71.376487400503152</v>
      </c>
      <c r="P55" s="123">
        <f t="shared" ca="1" si="33"/>
        <v>97.32286713407106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835400</v>
      </c>
      <c r="M56" s="497">
        <f t="shared" ca="1" si="35"/>
        <v>626550</v>
      </c>
      <c r="N56" s="497">
        <f t="shared" ca="1" si="35"/>
        <v>531336.56999999995</v>
      </c>
      <c r="O56" s="497">
        <f t="shared" ca="1" si="32"/>
        <v>63.602653818530037</v>
      </c>
      <c r="P56" s="497">
        <f t="shared" ca="1" si="33"/>
        <v>84.803538424706716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IFERROR(__xludf.DUMMYFUNCTION("IMPORTRANGE(""https://docs.google.com/spreadsheets/d/1MeEWN-I1oV_STSDYn1IFDPWt_1FKiwhDph83XaGc0o0/edit?usp=sharing"",""งบพรบ!W44"")"),835400)</f>
        <v>835400</v>
      </c>
      <c r="M58" s="93">
        <f ca="1">IFERROR(__xludf.DUMMYFUNCTION("IMPORTRANGE(""https://docs.google.com/spreadsheets/d/1MeEWN-I1oV_STSDYn1IFDPWt_1FKiwhDph83XaGc0o0/edit?usp=sharing"",""งบพรบ!AB44"")"),626550)</f>
        <v>626550</v>
      </c>
      <c r="N58" s="93">
        <f ca="1">IFERROR(__xludf.DUMMYFUNCTION("IMPORTRANGE(""https://docs.google.com/spreadsheets/d/1MeEWN-I1oV_STSDYn1IFDPWt_1FKiwhDph83XaGc0o0/edit?usp=sharing"",""งบพรบ!AD44"")"),531336.57)</f>
        <v>531336.56999999995</v>
      </c>
      <c r="O58" s="93">
        <f t="shared" ca="1" si="32"/>
        <v>63.602653818530037</v>
      </c>
      <c r="P58" s="93">
        <f t="shared" ca="1" si="33"/>
        <v>84.803538424706716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4014000</v>
      </c>
      <c r="M59" s="497">
        <f t="shared" ca="1" si="36"/>
        <v>2929994.81</v>
      </c>
      <c r="N59" s="497">
        <f t="shared" ca="1" si="36"/>
        <v>2929994.81</v>
      </c>
      <c r="O59" s="497">
        <f t="shared" ca="1" si="32"/>
        <v>72.994389885401091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IFERROR(__xludf.DUMMYFUNCTION("IMPORTRANGE(""https://docs.google.com/spreadsheets/d/1MeEWN-I1oV_STSDYn1IFDPWt_1FKiwhDph83XaGc0o0/edit?usp=sharing"",""งบพรบ!Z44"")"),4014000)</f>
        <v>4014000</v>
      </c>
      <c r="M61" s="52">
        <f ca="1">IFERROR(__xludf.DUMMYFUNCTION("IMPORTRANGE(""https://docs.google.com/spreadsheets/d/1MeEWN-I1oV_STSDYn1IFDPWt_1FKiwhDph83XaGc0o0/edit?usp=sharing"",""งบพรบ!AC44"")"),2929994.81)</f>
        <v>2929994.81</v>
      </c>
      <c r="N61" s="52">
        <f ca="1">IFERROR(__xludf.DUMMYFUNCTION("IMPORTRANGE(""https://docs.google.com/spreadsheets/d/1MeEWN-I1oV_STSDYn1IFDPWt_1FKiwhDph83XaGc0o0/edit?usp=sharing"",""งบพรบ!AE44"")"),2929994.81)</f>
        <v>2929994.81</v>
      </c>
      <c r="O61" s="52">
        <f t="shared" ca="1" si="32"/>
        <v>72.994389885401091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71</v>
      </c>
      <c r="J65" s="144">
        <f t="shared" si="37"/>
        <v>71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937300</v>
      </c>
      <c r="M66" s="155">
        <f t="shared" ca="1" si="39"/>
        <v>747630</v>
      </c>
      <c r="N66" s="155">
        <f t="shared" ca="1" si="39"/>
        <v>621451.67000000004</v>
      </c>
      <c r="O66" s="155">
        <f t="shared" ref="O66:O74" ca="1" si="40">IF(L66&gt;0,N66*100/L66,0)</f>
        <v>66.302322628827497</v>
      </c>
      <c r="P66" s="155">
        <f t="shared" ref="P66:P74" ca="1" si="41">IF(M66&gt;0,N66*100/M66,0)</f>
        <v>83.122891002233729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937300</v>
      </c>
      <c r="M68" s="93">
        <f t="shared" ca="1" si="42"/>
        <v>747630</v>
      </c>
      <c r="N68" s="93">
        <f t="shared" ca="1" si="42"/>
        <v>621451.67000000004</v>
      </c>
      <c r="O68" s="93">
        <f t="shared" ca="1" si="40"/>
        <v>66.302322628827497</v>
      </c>
      <c r="P68" s="93">
        <f t="shared" ca="1" si="41"/>
        <v>83.122891002233729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937300</v>
      </c>
      <c r="M69" s="497">
        <f t="shared" ca="1" si="43"/>
        <v>747630</v>
      </c>
      <c r="N69" s="497">
        <f t="shared" ca="1" si="43"/>
        <v>621451.67000000004</v>
      </c>
      <c r="O69" s="497">
        <f t="shared" ca="1" si="40"/>
        <v>66.302322628827497</v>
      </c>
      <c r="P69" s="497">
        <f t="shared" ca="1" si="41"/>
        <v>83.122891002233729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IFERROR(__xludf.DUMMYFUNCTION("IMPORTRANGE(""https://docs.google.com/spreadsheets/d/1MeEWN-I1oV_STSDYn1IFDPWt_1FKiwhDph83XaGc0o0/edit?usp=sharing"",""งบพรบ!AG44"")"),937300)</f>
        <v>937300</v>
      </c>
      <c r="M71" s="93">
        <f ca="1">IFERROR(__xludf.DUMMYFUNCTION("IMPORTRANGE(""https://docs.google.com/spreadsheets/d/1MeEWN-I1oV_STSDYn1IFDPWt_1FKiwhDph83XaGc0o0/edit?usp=sharing"",""งบพรบ!AL44"")"),747630)</f>
        <v>747630</v>
      </c>
      <c r="N71" s="93">
        <f ca="1">IFERROR(__xludf.DUMMYFUNCTION("IMPORTRANGE(""https://docs.google.com/spreadsheets/d/1MeEWN-I1oV_STSDYn1IFDPWt_1FKiwhDph83XaGc0o0/edit?usp=sharing"",""งบพรบ!AN44"")"),621451.67)</f>
        <v>621451.67000000004</v>
      </c>
      <c r="O71" s="93">
        <f t="shared" ca="1" si="40"/>
        <v>66.302322628827497</v>
      </c>
      <c r="P71" s="93">
        <f t="shared" ca="1" si="41"/>
        <v>83.122891002233729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IFERROR(__xludf.DUMMYFUNCTION("IMPORTRANGE(""https://docs.google.com/spreadsheets/d/1MeEWN-I1oV_STSDYn1IFDPWt_1FKiwhDph83XaGc0o0/edit?usp=sharing"",""งบพรบ!AJ44"")"),0)</f>
        <v>0</v>
      </c>
      <c r="M74" s="93">
        <f ca="1">IFERROR(__xludf.DUMMYFUNCTION("IMPORTRANGE(""https://docs.google.com/spreadsheets/d/1MeEWN-I1oV_STSDYn1IFDPWt_1FKiwhDph83XaGc0o0/edit?usp=sharing"",""งบพรบ!AM44"")"),0)</f>
        <v>0</v>
      </c>
      <c r="N74" s="93">
        <f ca="1">IFERROR(__xludf.DUMMYFUNCTION("IMPORTRANGE(""https://docs.google.com/spreadsheets/d/1MeEWN-I1oV_STSDYn1IFDPWt_1FKiwhDph83XaGc0o0/edit?usp=sharing"",""งบพรบ!AO44"")"),0)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71</v>
      </c>
      <c r="J77" s="270">
        <f t="shared" si="45"/>
        <v>71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IFERROR(__xludf.DUMMYFUNCTION("IMPORTRANGE(""https://docs.google.com/spreadsheets/d/1QqKyyYR6Q21VydFLVH3TRQUabQu_ym0Zz7PgGX0-kHA/edit?usp=sharing"",""แผน!D44"")"),1)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IFERROR(__xludf.DUMMYFUNCTION("IMPORTRANGE(""https://docs.google.com/spreadsheets/d/1QqKyyYR6Q21VydFLVH3TRQUabQu_ym0Zz7PgGX0-kHA/edit?usp=sharing"",""แผน!E44"")"),71)</f>
        <v>71</v>
      </c>
      <c r="J83" s="215">
        <v>71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IFERROR(__xludf.DUMMYFUNCTION("IMPORTRANGE(""https://docs.google.com/spreadsheets/d/1QqKyyYR6Q21VydFLVH3TRQUabQu_ym0Zz7PgGX0-kHA/edit?usp=sharing"",""แผน!J44"")"),1)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38860</v>
      </c>
      <c r="M88" s="155">
        <f t="shared" ca="1" si="49"/>
        <v>34360</v>
      </c>
      <c r="N88" s="155">
        <f t="shared" ca="1" si="49"/>
        <v>32610</v>
      </c>
      <c r="O88" s="155">
        <f t="shared" ref="O88:O96" ca="1" si="50">IF(L88&gt;0,N88*100/L88,0)</f>
        <v>83.916623777663403</v>
      </c>
      <c r="P88" s="155">
        <f t="shared" ref="P88:P96" ca="1" si="51">IF(M88&gt;0,N88*100/M88,0)</f>
        <v>94.906868451688013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38860</v>
      </c>
      <c r="M90" s="93">
        <f t="shared" ca="1" si="52"/>
        <v>34360</v>
      </c>
      <c r="N90" s="93">
        <f t="shared" ca="1" si="52"/>
        <v>32610</v>
      </c>
      <c r="O90" s="93">
        <f t="shared" ca="1" si="50"/>
        <v>83.916623777663403</v>
      </c>
      <c r="P90" s="93">
        <f t="shared" ca="1" si="51"/>
        <v>94.906868451688013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38860</v>
      </c>
      <c r="M91" s="497">
        <f t="shared" ca="1" si="53"/>
        <v>34360</v>
      </c>
      <c r="N91" s="497">
        <f t="shared" ca="1" si="53"/>
        <v>32610</v>
      </c>
      <c r="O91" s="497">
        <f t="shared" ca="1" si="50"/>
        <v>83.916623777663403</v>
      </c>
      <c r="P91" s="497">
        <f t="shared" ca="1" si="51"/>
        <v>94.906868451688013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IFERROR(__xludf.DUMMYFUNCTION("IMPORTRANGE(""https://docs.google.com/spreadsheets/d/1MeEWN-I1oV_STSDYn1IFDPWt_1FKiwhDph83XaGc0o0/edit?usp=sharing"",""งบพรบ!AQ44"")"),38860)</f>
        <v>38860</v>
      </c>
      <c r="M93" s="93">
        <f ca="1">IFERROR(__xludf.DUMMYFUNCTION("IMPORTRANGE(""https://docs.google.com/spreadsheets/d/1MeEWN-I1oV_STSDYn1IFDPWt_1FKiwhDph83XaGc0o0/edit?usp=sharing"",""งบพรบ!AV44"")"),34360)</f>
        <v>34360</v>
      </c>
      <c r="N93" s="93">
        <f ca="1">IFERROR(__xludf.DUMMYFUNCTION("IMPORTRANGE(""https://docs.google.com/spreadsheets/d/1MeEWN-I1oV_STSDYn1IFDPWt_1FKiwhDph83XaGc0o0/edit?usp=sharing"",""งบพรบ!AX44"")"),32610)</f>
        <v>32610</v>
      </c>
      <c r="O93" s="93">
        <f t="shared" ca="1" si="50"/>
        <v>83.916623777663403</v>
      </c>
      <c r="P93" s="93">
        <f t="shared" ca="1" si="51"/>
        <v>94.906868451688013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IFERROR(__xludf.DUMMYFUNCTION("IMPORTRANGE(""https://docs.google.com/spreadsheets/d/1MeEWN-I1oV_STSDYn1IFDPWt_1FKiwhDph83XaGc0o0/edit?usp=sharing"",""งบพรบ!AT44"")"),0)</f>
        <v>0</v>
      </c>
      <c r="M96" s="93">
        <f ca="1">IFERROR(__xludf.DUMMYFUNCTION("IMPORTRANGE(""https://docs.google.com/spreadsheets/d/1MeEWN-I1oV_STSDYn1IFDPWt_1FKiwhDph83XaGc0o0/edit?usp=sharing"",""งบพรบ!AW44"")"),0)</f>
        <v>0</v>
      </c>
      <c r="N96" s="93">
        <f ca="1">IFERROR(__xludf.DUMMYFUNCTION("IMPORTRANGE(""https://docs.google.com/spreadsheets/d/1MeEWN-I1oV_STSDYn1IFDPWt_1FKiwhDph83XaGc0o0/edit?usp=sharing"",""งบพรบ!AY44"")"),0)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IFERROR(__xludf.DUMMYFUNCTION("IMPORTRANGE(""https://docs.google.com/spreadsheets/d/1QqKyyYR6Q21VydFLVH3TRQUabQu_ym0Zz7PgGX0-kHA/edit?usp=sharing"",""แผน!K44"")"),45)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IFERROR(__xludf.DUMMYFUNCTION("IMPORTRANGE(""https://docs.google.com/spreadsheets/d/1QqKyyYR6Q21VydFLVH3TRQUabQu_ym0Zz7PgGX0-kHA/edit?usp=sharing"",""แผน!L44"")"),15)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IFERROR(__xludf.DUMMYFUNCTION("IMPORTRANGE(""https://docs.google.com/spreadsheets/d/1QqKyyYR6Q21VydFLVH3TRQUabQu_ym0Zz7PgGX0-kHA/edit?usp=sharing"",""แผน!M44"")"),0)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IFERROR(__xludf.DUMMYFUNCTION("IMPORTRANGE(""https://docs.google.com/spreadsheets/d/1QqKyyYR6Q21VydFLVH3TRQUabQu_ym0Zz7PgGX0-kHA/edit?usp=sharing"",""แผน!N44"")"),45)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IFERROR(__xludf.DUMMYFUNCTION("IMPORTRANGE(""https://docs.google.com/spreadsheets/d/1QqKyyYR6Q21VydFLVH3TRQUabQu_ym0Zz7PgGX0-kHA/edit?usp=sharing"",""แผน!O44"")"),15)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IFERROR(__xludf.DUMMYFUNCTION("IMPORTRANGE(""https://docs.google.com/spreadsheets/d/1QqKyyYR6Q21VydFLVH3TRQUabQu_ym0Zz7PgGX0-kHA/edit?usp=sharing"",""แผน!O44"")"),15)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IFERROR(__xludf.DUMMYFUNCTION("IMPORTRANGE(""https://docs.google.com/spreadsheets/d/1QqKyyYR6Q21VydFLVH3TRQUabQu_ym0Zz7PgGX0-kHA/edit?usp=sharing"",""แผน!Q44"")"),0)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IFERROR(__xludf.DUMMYFUNCTION("IMPORTRANGE(""https://docs.google.com/spreadsheets/d/1QqKyyYR6Q21VydFLVH3TRQUabQu_ym0Zz7PgGX0-kHA/edit?usp=sharing"",""แผน!Q44"")"),0)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IFERROR(__xludf.DUMMYFUNCTION("IMPORTRANGE(""https://docs.google.com/spreadsheets/d/1QqKyyYR6Q21VydFLVH3TRQUabQu_ym0Zz7PgGX0-kHA/edit?usp=sharing"",""แผน!R44"")"),15)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IFERROR(__xludf.DUMMYFUNCTION("IMPORTRANGE(""https://docs.google.com/spreadsheets/d/1QqKyyYR6Q21VydFLVH3TRQUabQu_ym0Zz7PgGX0-kHA/edit?usp=sharing"",""แผน!R44"")"),15)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IFERROR(__xludf.DUMMYFUNCTION("IMPORTRANGE(""https://docs.google.com/spreadsheets/d/1QqKyyYR6Q21VydFLVH3TRQUabQu_ym0Zz7PgGX0-kHA/edit?usp=sharing"",""แผน!R44"")"),15)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IFERROR(__xludf.DUMMYFUNCTION("IMPORTRANGE(""https://docs.google.com/spreadsheets/d/1QqKyyYR6Q21VydFLVH3TRQUabQu_ym0Zz7PgGX0-kHA/edit?usp=sharing"",""แผน!T44"")"),0)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IFERROR(__xludf.DUMMYFUNCTION("IMPORTRANGE(""https://docs.google.com/spreadsheets/d/1MeEWN-I1oV_STSDYn1IFDPWt_1FKiwhDph83XaGc0o0/edit?usp=sharing"",""งบพรบ!BA44"")"),0)</f>
        <v>0</v>
      </c>
      <c r="M124" s="93">
        <f ca="1">IFERROR(__xludf.DUMMYFUNCTION("IMPORTRANGE(""https://docs.google.com/spreadsheets/d/1MeEWN-I1oV_STSDYn1IFDPWt_1FKiwhDph83XaGc0o0/edit?usp=sharing"",""งบพรบ!BF44"")"),0)</f>
        <v>0</v>
      </c>
      <c r="N124" s="93">
        <f ca="1">IFERROR(__xludf.DUMMYFUNCTION("IMPORTRANGE(""https://docs.google.com/spreadsheets/d/1MeEWN-I1oV_STSDYn1IFDPWt_1FKiwhDph83XaGc0o0/edit?usp=sharing"",""งบพรบ!BH44"")"),0)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IFERROR(__xludf.DUMMYFUNCTION("IMPORTRANGE(""https://docs.google.com/spreadsheets/d/1MeEWN-I1oV_STSDYn1IFDPWt_1FKiwhDph83XaGc0o0/edit?usp=sharing"",""งบพรบ!BD44"")"),0)</f>
        <v>0</v>
      </c>
      <c r="M127" s="93">
        <f ca="1">IFERROR(__xludf.DUMMYFUNCTION("IMPORTRANGE(""https://docs.google.com/spreadsheets/d/1MeEWN-I1oV_STSDYn1IFDPWt_1FKiwhDph83XaGc0o0/edit?usp=sharing"",""งบพรบ!BG44"")"),0)</f>
        <v>0</v>
      </c>
      <c r="N127" s="93">
        <f ca="1">IFERROR(__xludf.DUMMYFUNCTION("IMPORTRANGE(""https://docs.google.com/spreadsheets/d/1MeEWN-I1oV_STSDYn1IFDPWt_1FKiwhDph83XaGc0o0/edit?usp=sharing"",""งบพรบ!BI44"")"),0)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IFERROR(__xludf.DUMMYFUNCTION("IMPORTRANGE(""https://docs.google.com/spreadsheets/d/1MeEWN-I1oV_STSDYn1IFDPWt_1FKiwhDph83XaGc0o0/edit?usp=sharing"",""งบพรบ!BK44"")"),0)</f>
        <v>0</v>
      </c>
      <c r="M137" s="93">
        <f ca="1">IFERROR(__xludf.DUMMYFUNCTION("IMPORTRANGE(""https://docs.google.com/spreadsheets/d/1MeEWN-I1oV_STSDYn1IFDPWt_1FKiwhDph83XaGc0o0/edit?usp=sharing"",""งบพรบ!BP44"")"),0)</f>
        <v>0</v>
      </c>
      <c r="N137" s="93">
        <f ca="1">IFERROR(__xludf.DUMMYFUNCTION("IMPORTRANGE(""https://docs.google.com/spreadsheets/d/1MeEWN-I1oV_STSDYn1IFDPWt_1FKiwhDph83XaGc0o0/edit?usp=sharing"",""งบพรบ!BR44"")"),0)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IFERROR(__xludf.DUMMYFUNCTION("IMPORTRANGE(""https://docs.google.com/spreadsheets/d/1MeEWN-I1oV_STSDYn1IFDPWt_1FKiwhDph83XaGc0o0/edit?usp=sharing"",""งบพรบ!BN44"")"),0)</f>
        <v>0</v>
      </c>
      <c r="M140" s="93">
        <f ca="1">IFERROR(__xludf.DUMMYFUNCTION("IMPORTRANGE(""https://docs.google.com/spreadsheets/d/1MeEWN-I1oV_STSDYn1IFDPWt_1FKiwhDph83XaGc0o0/edit?usp=sharing"",""งบพรบ!BQ44"")"),0)</f>
        <v>0</v>
      </c>
      <c r="N140" s="93">
        <f ca="1">IFERROR(__xludf.DUMMYFUNCTION("IMPORTRANGE(""https://docs.google.com/spreadsheets/d/1MeEWN-I1oV_STSDYn1IFDPWt_1FKiwhDph83XaGc0o0/edit?usp=sharing"",""งบพรบ!BS44"")"),0)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8170</v>
      </c>
      <c r="N149" s="155">
        <f t="shared" ca="1" si="77"/>
        <v>8170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8170</v>
      </c>
      <c r="N151" s="93">
        <f t="shared" ca="1" si="80"/>
        <v>8170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8170</v>
      </c>
      <c r="N152" s="497">
        <f t="shared" ca="1" si="81"/>
        <v>8170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IFERROR(__xludf.DUMMYFUNCTION("IMPORTRANGE(""https://docs.google.com/spreadsheets/d/1MeEWN-I1oV_STSDYn1IFDPWt_1FKiwhDph83XaGc0o0/edit?usp=sharing"",""งบพรบ!BU44"")"),0)</f>
        <v>0</v>
      </c>
      <c r="M154" s="93">
        <f ca="1">IFERROR(__xludf.DUMMYFUNCTION("IMPORTRANGE(""https://docs.google.com/spreadsheets/d/1MeEWN-I1oV_STSDYn1IFDPWt_1FKiwhDph83XaGc0o0/edit?usp=sharing"",""งบพรบ!BZ44"")"),8170)</f>
        <v>8170</v>
      </c>
      <c r="N154" s="93">
        <f ca="1">IFERROR(__xludf.DUMMYFUNCTION("IMPORTRANGE(""https://docs.google.com/spreadsheets/d/1MeEWN-I1oV_STSDYn1IFDPWt_1FKiwhDph83XaGc0o0/edit?usp=sharing"",""งบพรบ!CB44"")"),8170)</f>
        <v>8170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IFERROR(__xludf.DUMMYFUNCTION("IMPORTRANGE(""https://docs.google.com/spreadsheets/d/1MeEWN-I1oV_STSDYn1IFDPWt_1FKiwhDph83XaGc0o0/edit?usp=sharing"",""งบพรบ!BX44"")"),0)</f>
        <v>0</v>
      </c>
      <c r="M157" s="93">
        <f ca="1">IFERROR(__xludf.DUMMYFUNCTION("IMPORTRANGE(""https://docs.google.com/spreadsheets/d/1MeEWN-I1oV_STSDYn1IFDPWt_1FKiwhDph83XaGc0o0/edit?usp=sharing"",""งบพรบ!CA44"")"),0)</f>
        <v>0</v>
      </c>
      <c r="N157" s="93">
        <f ca="1">IFERROR(__xludf.DUMMYFUNCTION("IMPORTRANGE(""https://docs.google.com/spreadsheets/d/1MeEWN-I1oV_STSDYn1IFDPWt_1FKiwhDph83XaGc0o0/edit?usp=sharing"",""งบพรบ!CC44"")"),0)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IFERROR(__xludf.DUMMYFUNCTION("IMPORTRANGE(""https://docs.google.com/spreadsheets/d/1MeEWN-I1oV_STSDYn1IFDPWt_1FKiwhDph83XaGc0o0/edit?usp=sharing"",""งบพรบ!CE44"")"),22055)</f>
        <v>22055</v>
      </c>
      <c r="M170" s="93">
        <f ca="1">IFERROR(__xludf.DUMMYFUNCTION("IMPORTRANGE(""https://docs.google.com/spreadsheets/d/1MeEWN-I1oV_STSDYn1IFDPWt_1FKiwhDph83XaGc0o0/edit?usp=sharing"",""งบพรบ!CJ44"")"),22055)</f>
        <v>22055</v>
      </c>
      <c r="N170" s="93">
        <f ca="1">IFERROR(__xludf.DUMMYFUNCTION("IMPORTRANGE(""https://docs.google.com/spreadsheets/d/1MeEWN-I1oV_STSDYn1IFDPWt_1FKiwhDph83XaGc0o0/edit?usp=sharing"",""งบพรบ!CL44"")"),22055)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IFERROR(__xludf.DUMMYFUNCTION("IMPORTRANGE(""https://docs.google.com/spreadsheets/d/1MeEWN-I1oV_STSDYn1IFDPWt_1FKiwhDph83XaGc0o0/edit?usp=sharing"",""งบพรบ!CH44"")"),0)</f>
        <v>0</v>
      </c>
      <c r="M173" s="93">
        <f ca="1">IFERROR(__xludf.DUMMYFUNCTION("IMPORTRANGE(""https://docs.google.com/spreadsheets/d/1MeEWN-I1oV_STSDYn1IFDPWt_1FKiwhDph83XaGc0o0/edit?usp=sharing"",""งบพรบ!CK44"")"),0)</f>
        <v>0</v>
      </c>
      <c r="N173" s="93">
        <f ca="1">IFERROR(__xludf.DUMMYFUNCTION("IMPORTRANGE(""https://docs.google.com/spreadsheets/d/1MeEWN-I1oV_STSDYn1IFDPWt_1FKiwhDph83XaGc0o0/edit?usp=sharing"",""งบพรบ!CM44"")"),0)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IFERROR(__xludf.DUMMYFUNCTION("IMPORTRANGE(""https://docs.google.com/spreadsheets/d/1QqKyyYR6Q21VydFLVH3TRQUabQu_ym0Zz7PgGX0-kHA/edit?usp=sharing"",""แผน!Y44"")"),11)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78500</v>
      </c>
      <c r="M181" s="155">
        <f t="shared" ca="1" si="92"/>
        <v>73500</v>
      </c>
      <c r="N181" s="155">
        <f t="shared" ca="1" si="92"/>
        <v>35212</v>
      </c>
      <c r="O181" s="155">
        <f t="shared" ref="O181:O189" ca="1" si="93">IF(L181&gt;0,N181*100/L181,0)</f>
        <v>44.856050955414013</v>
      </c>
      <c r="P181" s="155">
        <f t="shared" ref="P181:P189" ca="1" si="94">IF(M181&gt;0,N181*100/M181,0)</f>
        <v>47.907482993197277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78500</v>
      </c>
      <c r="M183" s="93">
        <f t="shared" ca="1" si="95"/>
        <v>73500</v>
      </c>
      <c r="N183" s="93">
        <f t="shared" ca="1" si="95"/>
        <v>35212</v>
      </c>
      <c r="O183" s="93">
        <f t="shared" ca="1" si="93"/>
        <v>44.856050955414013</v>
      </c>
      <c r="P183" s="93">
        <f t="shared" ca="1" si="94"/>
        <v>47.907482993197277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78500</v>
      </c>
      <c r="M184" s="497">
        <f t="shared" ca="1" si="96"/>
        <v>73500</v>
      </c>
      <c r="N184" s="497">
        <f t="shared" ca="1" si="96"/>
        <v>35212</v>
      </c>
      <c r="O184" s="497">
        <f t="shared" ca="1" si="93"/>
        <v>44.856050955414013</v>
      </c>
      <c r="P184" s="497">
        <f t="shared" ca="1" si="94"/>
        <v>47.907482993197277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IFERROR(__xludf.DUMMYFUNCTION("IMPORTRANGE(""https://docs.google.com/spreadsheets/d/1MeEWN-I1oV_STSDYn1IFDPWt_1FKiwhDph83XaGc0o0/edit?usp=sharing"",""งบพรบ!CO44"")"),78500)</f>
        <v>78500</v>
      </c>
      <c r="M186" s="93">
        <f ca="1">IFERROR(__xludf.DUMMYFUNCTION("IMPORTRANGE(""https://docs.google.com/spreadsheets/d/1MeEWN-I1oV_STSDYn1IFDPWt_1FKiwhDph83XaGc0o0/edit?usp=sharing"",""งบพรบ!CT44"")"),73500)</f>
        <v>73500</v>
      </c>
      <c r="N186" s="93">
        <f ca="1">IFERROR(__xludf.DUMMYFUNCTION("IMPORTRANGE(""https://docs.google.com/spreadsheets/d/1MeEWN-I1oV_STSDYn1IFDPWt_1FKiwhDph83XaGc0o0/edit?usp=sharing"",""งบพรบ!CV44"")"),35212)</f>
        <v>35212</v>
      </c>
      <c r="O186" s="93">
        <f t="shared" ca="1" si="93"/>
        <v>44.856050955414013</v>
      </c>
      <c r="P186" s="93">
        <f t="shared" ca="1" si="94"/>
        <v>47.907482993197277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IFERROR(__xludf.DUMMYFUNCTION("IMPORTRANGE(""https://docs.google.com/spreadsheets/d/1MeEWN-I1oV_STSDYn1IFDPWt_1FKiwhDph83XaGc0o0/edit?usp=sharing"",""งบพรบ!CR44"")"),0)</f>
        <v>0</v>
      </c>
      <c r="M189" s="93">
        <f ca="1">IFERROR(__xludf.DUMMYFUNCTION("IMPORTRANGE(""https://docs.google.com/spreadsheets/d/1MeEWN-I1oV_STSDYn1IFDPWt_1FKiwhDph83XaGc0o0/edit?usp=sharing"",""งบพรบ!CU44"")"),0)</f>
        <v>0</v>
      </c>
      <c r="N189" s="93">
        <f ca="1">IFERROR(__xludf.DUMMYFUNCTION("IMPORTRANGE(""https://docs.google.com/spreadsheets/d/1MeEWN-I1oV_STSDYn1IFDPWt_1FKiwhDph83XaGc0o0/edit?usp=sharing"",""งบพรบ!CW44"")"),0)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IFERROR(__xludf.DUMMYFUNCTION("IMPORTRANGE(""https://docs.google.com/spreadsheets/d/1QqKyyYR6Q21VydFLVH3TRQUabQu_ym0Zz7PgGX0-kHA/edit?usp=sharing"",""แผน!Z44"")"),6000)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40+35</f>
        <v>75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22510</v>
      </c>
      <c r="O198" s="155">
        <f ca="1">IF(L198&gt;0,N198*100/L198,0)</f>
        <v>43.28846153846154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IFERROR(__xludf.DUMMYFUNCTION("IMPORTRANGE(""https://docs.google.com/spreadsheets/d/1QqKyyYR6Q21VydFLVH3TRQUabQu_ym0Zz7PgGX0-kHA/edit?usp=sharing"",""แผน!AE44"")"),4000)</f>
        <v>4000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IFERROR(__xludf.DUMMYFUNCTION("IMPORTRANGE(""https://docs.google.com/spreadsheets/d/1QqKyyYR6Q21VydFLVH3TRQUabQu_ym0Zz7PgGX0-kHA/edit?usp=sharing"",""แผน!AF44"")"),32000)</f>
        <v>32000</v>
      </c>
      <c r="M200" s="497"/>
      <c r="N200" s="838">
        <v>22510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IFERROR(__xludf.DUMMYFUNCTION("IMPORTRANGE(""https://docs.google.com/spreadsheets/d/1QqKyyYR6Q21VydFLVH3TRQUabQu_ym0Zz7PgGX0-kHA/edit?usp=sharing"",""แผน!AG44"")"),16000)</f>
        <v>16000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8202</v>
      </c>
      <c r="O209" s="155">
        <f ca="1">IF(L209&gt;0,N209*100/L209,0)</f>
        <v>58.585714285714289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IFERROR(__xludf.DUMMYFUNCTION("IMPORTRANGE(""https://docs.google.com/spreadsheets/d/1QqKyyYR6Q21VydFLVH3TRQUabQu_ym0Zz7PgGX0-kHA/edit?usp=sharing"",""แผน!AK44"")"),1000)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IFERROR(__xludf.DUMMYFUNCTION("IMPORTRANGE(""https://docs.google.com/spreadsheets/d/1QqKyyYR6Q21VydFLVH3TRQUabQu_ym0Zz7PgGX0-kHA/edit?usp=sharing"",""แผน!AL44"")"),5000)</f>
        <v>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IFERROR(__xludf.DUMMYFUNCTION("IMPORTRANGE(""https://docs.google.com/spreadsheets/d/1QqKyyYR6Q21VydFLVH3TRQUabQu_ym0Zz7PgGX0-kHA/edit?usp=sharing"",""แผน!AM44"")"),8000)</f>
        <v>8000</v>
      </c>
      <c r="M212" s="497"/>
      <c r="N212" s="838">
        <v>8202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IFERROR(__xludf.DUMMYFUNCTION("IMPORTRANGE(""https://docs.google.com/spreadsheets/d/1QqKyyYR6Q21VydFLVH3TRQUabQu_ym0Zz7PgGX0-kHA/edit?usp=sharing"",""แผน!AN44"")"),1)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IFERROR(__xludf.DUMMYFUNCTION("IMPORTRANGE(""https://docs.google.com/spreadsheets/d/1QqKyyYR6Q21VydFLVH3TRQUabQu_ym0Zz7PgGX0-kHA/edit?usp=sharing"",""แผน!AP44"")"),3000)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IFERROR(__xludf.DUMMYFUNCTION("IMPORTRANGE(""https://docs.google.com/spreadsheets/d/1QqKyyYR6Q21VydFLVH3TRQUabQu_ym0Zz7PgGX0-kHA/edit?usp=sharing"",""แผน!AQ44"")"),3500)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IFERROR(__xludf.DUMMYFUNCTION("IMPORTRANGE(""https://docs.google.com/spreadsheets/d/1QqKyyYR6Q21VydFLVH3TRQUabQu_ym0Zz7PgGX0-kHA/edit?usp=sharing"",""แผน!AR44"")"),0)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IFERROR(__xludf.DUMMYFUNCTION("IMPORTRANGE(""https://docs.google.com/spreadsheets/d/1QqKyyYR6Q21VydFLVH3TRQUabQu_ym0Zz7PgGX0-kHA/edit?usp=sharing"",""แผน!AT44"")"),10000)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IFERROR(__xludf.DUMMYFUNCTION("IMPORTRANGE(""https://docs.google.com/spreadsheets/d/1QqKyyYR6Q21VydFLVH3TRQUabQu_ym0Zz7PgGX0-kHA/edit?usp=sharing"",""แผน!AT44"")"),10000)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22630</v>
      </c>
      <c r="O261" s="155">
        <f t="shared" ref="O261:O269" ca="1" si="117">IF(L261&gt;0,N261*100/L261,0)</f>
        <v>84.126394052044603</v>
      </c>
      <c r="P261" s="155">
        <f t="shared" ref="P261:P269" ca="1" si="118">IF(M261&gt;0,N261*100/M261,0)</f>
        <v>94.686192468619254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22630</v>
      </c>
      <c r="O263" s="93">
        <f t="shared" ca="1" si="117"/>
        <v>84.126394052044603</v>
      </c>
      <c r="P263" s="93">
        <f t="shared" ca="1" si="118"/>
        <v>94.686192468619254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22630</v>
      </c>
      <c r="O264" s="497">
        <f t="shared" ca="1" si="117"/>
        <v>84.126394052044603</v>
      </c>
      <c r="P264" s="497">
        <f t="shared" ca="1" si="118"/>
        <v>94.686192468619254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IFERROR(__xludf.DUMMYFUNCTION("IMPORTRANGE(""https://docs.google.com/spreadsheets/d/1MeEWN-I1oV_STSDYn1IFDPWt_1FKiwhDph83XaGc0o0/edit?usp=sharing"",""งบพรบ!CY44"")"),26900)</f>
        <v>26900</v>
      </c>
      <c r="M266" s="93">
        <f ca="1">IFERROR(__xludf.DUMMYFUNCTION("IMPORTRANGE(""https://docs.google.com/spreadsheets/d/1MeEWN-I1oV_STSDYn1IFDPWt_1FKiwhDph83XaGc0o0/edit?usp=sharing"",""งบพรบ!DD44"")"),23900)</f>
        <v>23900</v>
      </c>
      <c r="N266" s="93">
        <f ca="1">IFERROR(__xludf.DUMMYFUNCTION("IMPORTRANGE(""https://docs.google.com/spreadsheets/d/1MeEWN-I1oV_STSDYn1IFDPWt_1FKiwhDph83XaGc0o0/edit?usp=sharing"",""งบพรบ!DF44"")"),22630)</f>
        <v>22630</v>
      </c>
      <c r="O266" s="93">
        <f t="shared" ca="1" si="117"/>
        <v>84.126394052044603</v>
      </c>
      <c r="P266" s="93">
        <f t="shared" ca="1" si="118"/>
        <v>94.686192468619254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IFERROR(__xludf.DUMMYFUNCTION("IMPORTRANGE(""https://docs.google.com/spreadsheets/d/1MeEWN-I1oV_STSDYn1IFDPWt_1FKiwhDph83XaGc0o0/edit?usp=sharing"",""งบพรบ!DB44"")"),0)</f>
        <v>0</v>
      </c>
      <c r="M269" s="93">
        <f ca="1">IFERROR(__xludf.DUMMYFUNCTION("IMPORTRANGE(""https://docs.google.com/spreadsheets/d/1MeEWN-I1oV_STSDYn1IFDPWt_1FKiwhDph83XaGc0o0/edit?usp=sharing"",""งบพรบ!DE44"")"),0)</f>
        <v>0</v>
      </c>
      <c r="N269" s="93">
        <f ca="1">IFERROR(__xludf.DUMMYFUNCTION("IMPORTRANGE(""https://docs.google.com/spreadsheets/d/1MeEWN-I1oV_STSDYn1IFDPWt_1FKiwhDph83XaGc0o0/edit?usp=sharing"",""งบพรบ!DG44"")"),0)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12895.14</v>
      </c>
      <c r="O277" s="155">
        <f t="shared" ref="O277:O285" ca="1" si="126">IF(L277&gt;0,N277*100/L277,0)</f>
        <v>31.443891733723483</v>
      </c>
      <c r="P277" s="155">
        <f t="shared" ref="P277:P285" ca="1" si="127">IF(M277&gt;0,N277*100/M277,0)</f>
        <v>58.747790432801821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12895.14</v>
      </c>
      <c r="O279" s="93">
        <f t="shared" ca="1" si="126"/>
        <v>31.443891733723483</v>
      </c>
      <c r="P279" s="93">
        <f t="shared" ca="1" si="127"/>
        <v>58.747790432801821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12895.14</v>
      </c>
      <c r="O280" s="497">
        <f t="shared" ca="1" si="126"/>
        <v>31.443891733723483</v>
      </c>
      <c r="P280" s="497">
        <f t="shared" ca="1" si="127"/>
        <v>58.747790432801821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IFERROR(__xludf.DUMMYFUNCTION("IMPORTRANGE(""https://docs.google.com/spreadsheets/d/1MeEWN-I1oV_STSDYn1IFDPWt_1FKiwhDph83XaGc0o0/edit?usp=sharing"",""งบพรบ!DI44"")"),41010)</f>
        <v>41010</v>
      </c>
      <c r="M282" s="93">
        <f ca="1">IFERROR(__xludf.DUMMYFUNCTION("IMPORTRANGE(""https://docs.google.com/spreadsheets/d/1MeEWN-I1oV_STSDYn1IFDPWt_1FKiwhDph83XaGc0o0/edit?usp=sharing"",""งบพรบ!DN44"")"),21950)</f>
        <v>21950</v>
      </c>
      <c r="N282" s="93">
        <f ca="1">IFERROR(__xludf.DUMMYFUNCTION("IMPORTRANGE(""https://docs.google.com/spreadsheets/d/1MeEWN-I1oV_STSDYn1IFDPWt_1FKiwhDph83XaGc0o0/edit?usp=sharing"",""งบพรบ!DP44"")"),12895.14)</f>
        <v>12895.14</v>
      </c>
      <c r="O282" s="93">
        <f t="shared" ca="1" si="126"/>
        <v>31.443891733723483</v>
      </c>
      <c r="P282" s="93">
        <f t="shared" ca="1" si="127"/>
        <v>58.747790432801821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IFERROR(__xludf.DUMMYFUNCTION("IMPORTRANGE(""https://docs.google.com/spreadsheets/d/1MeEWN-I1oV_STSDYn1IFDPWt_1FKiwhDph83XaGc0o0/edit?usp=sharing"",""งบพรบ!DL44"")"),0)</f>
        <v>0</v>
      </c>
      <c r="M285" s="93">
        <f ca="1">IFERROR(__xludf.DUMMYFUNCTION("IMPORTRANGE(""https://docs.google.com/spreadsheets/d/1MeEWN-I1oV_STSDYn1IFDPWt_1FKiwhDph83XaGc0o0/edit?usp=sharing"",""งบพรบ!DO44"")"),0)</f>
        <v>0</v>
      </c>
      <c r="N285" s="93">
        <f ca="1">IFERROR(__xludf.DUMMYFUNCTION("IMPORTRANGE(""https://docs.google.com/spreadsheets/d/1MeEWN-I1oV_STSDYn1IFDPWt_1FKiwhDph83XaGc0o0/edit?usp=sharing"",""งบพรบ!DQ44"")"),0)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IFERROR(__xludf.DUMMYFUNCTION("IMPORTRANGE(""https://docs.google.com/spreadsheets/d/1QqKyyYR6Q21VydFLVH3TRQUabQu_ym0Zz7PgGX0-kHA/edit?usp=sharing"",""แผน!EC44"")"),100)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IFERROR(__xludf.DUMMYFUNCTION("IMPORTRANGE(""https://docs.google.com/spreadsheets/d/1QqKyyYR6Q21VydFLVH3TRQUabQu_ym0Zz7PgGX0-kHA/edit?usp=sharing"",""แผน!EB44"")"),10)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IFERROR(__xludf.DUMMYFUNCTION("IMPORTRANGE(""https://docs.google.com/spreadsheets/d/1QqKyyYR6Q21VydFLVH3TRQUabQu_ym0Zz7PgGX0-kHA/edit?usp=sharing"",""แผน!EB44"")"),10)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IFERROR(__xludf.DUMMYFUNCTION("IMPORTRANGE(""https://docs.google.com/spreadsheets/d/1QqKyyYR6Q21VydFLVH3TRQUabQu_ym0Zz7PgGX0-kHA/edit?usp=sharing"",""แผน!EB44"")"),10)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62570</v>
      </c>
      <c r="O298" s="155">
        <f t="shared" ref="O298:O306" ca="1" si="136">IF(L298&gt;0,N298*100/L298,0)</f>
        <v>75.934466019417471</v>
      </c>
      <c r="P298" s="155">
        <f t="shared" ref="P298:P306" ca="1" si="137">IF(M298&gt;0,N298*100/M298,0)</f>
        <v>97.158385093167695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62570</v>
      </c>
      <c r="O300" s="93">
        <f t="shared" ca="1" si="136"/>
        <v>75.934466019417471</v>
      </c>
      <c r="P300" s="93">
        <f t="shared" ca="1" si="137"/>
        <v>97.158385093167695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62570</v>
      </c>
      <c r="O301" s="497">
        <f t="shared" ca="1" si="136"/>
        <v>75.934466019417471</v>
      </c>
      <c r="P301" s="497">
        <f t="shared" ca="1" si="137"/>
        <v>97.158385093167695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IFERROR(__xludf.DUMMYFUNCTION("IMPORTRANGE(""https://docs.google.com/spreadsheets/d/1MeEWN-I1oV_STSDYn1IFDPWt_1FKiwhDph83XaGc0o0/edit?usp=sharing"",""งบพรบ!DS44"")"),82400)</f>
        <v>82400</v>
      </c>
      <c r="M303" s="93">
        <f ca="1">IFERROR(__xludf.DUMMYFUNCTION("IMPORTRANGE(""https://docs.google.com/spreadsheets/d/1MeEWN-I1oV_STSDYn1IFDPWt_1FKiwhDph83XaGc0o0/edit?usp=sharing"",""งบพรบ!DX44"")"),64400)</f>
        <v>64400</v>
      </c>
      <c r="N303" s="93">
        <f ca="1">IFERROR(__xludf.DUMMYFUNCTION("IMPORTRANGE(""https://docs.google.com/spreadsheets/d/1MeEWN-I1oV_STSDYn1IFDPWt_1FKiwhDph83XaGc0o0/edit?usp=sharing"",""งบพรบ!DZ44"")"),62570)</f>
        <v>62570</v>
      </c>
      <c r="O303" s="93">
        <f t="shared" ca="1" si="136"/>
        <v>75.934466019417471</v>
      </c>
      <c r="P303" s="93">
        <f t="shared" ca="1" si="137"/>
        <v>97.158385093167695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IFERROR(__xludf.DUMMYFUNCTION("IMPORTRANGE(""https://docs.google.com/spreadsheets/d/1MeEWN-I1oV_STSDYn1IFDPWt_1FKiwhDph83XaGc0o0/edit?usp=sharing"",""งบพรบ!DV44"")"),0)</f>
        <v>0</v>
      </c>
      <c r="M306" s="93">
        <f ca="1">IFERROR(__xludf.DUMMYFUNCTION("IMPORTRANGE(""https://docs.google.com/spreadsheets/d/1MeEWN-I1oV_STSDYn1IFDPWt_1FKiwhDph83XaGc0o0/edit?usp=sharing"",""งบพรบ!DY44"")"),0)</f>
        <v>0</v>
      </c>
      <c r="N306" s="93">
        <f ca="1">IFERROR(__xludf.DUMMYFUNCTION("IMPORTRANGE(""https://docs.google.com/spreadsheets/d/1MeEWN-I1oV_STSDYn1IFDPWt_1FKiwhDph83XaGc0o0/edit?usp=sharing"",""งบพรบ!EA44"")"),0)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IFERROR(__xludf.DUMMYFUNCTION("IMPORTRANGE(""https://docs.google.com/spreadsheets/d/1QqKyyYR6Q21VydFLVH3TRQUabQu_ym0Zz7PgGX0-kHA/edit?usp=sharing"",""แผน!ED44"")"),20)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IFERROR(__xludf.DUMMYFUNCTION("IMPORTRANGE(""https://docs.google.com/spreadsheets/d/1QqKyyYR6Q21VydFLVH3TRQUabQu_ym0Zz7PgGX0-kHA/edit?usp=sharing"",""แผน!ED44"")"),20)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IFERROR(__xludf.DUMMYFUNCTION("IMPORTRANGE(""https://docs.google.com/spreadsheets/d/1QqKyyYR6Q21VydFLVH3TRQUabQu_ym0Zz7PgGX0-kHA/edit?usp=sharing"",""แผน!ED44"")"),20)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IFERROR(__xludf.DUMMYFUNCTION("IMPORTRANGE(""https://docs.google.com/spreadsheets/d/1QqKyyYR6Q21VydFLVH3TRQUabQu_ym0Zz7PgGX0-kHA/edit?usp=sharing"",""แผน!EE44"")"),4)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IFERROR(__xludf.DUMMYFUNCTION("IMPORTRANGE(""https://docs.google.com/spreadsheets/d/1MeEWN-I1oV_STSDYn1IFDPWt_1FKiwhDph83XaGc0o0/edit?usp=sharing"",""งบพรบ!EC44"")"),0)</f>
        <v>0</v>
      </c>
      <c r="M320" s="93">
        <f ca="1">IFERROR(__xludf.DUMMYFUNCTION("IMPORTRANGE(""https://docs.google.com/spreadsheets/d/1MeEWN-I1oV_STSDYn1IFDPWt_1FKiwhDph83XaGc0o0/edit?usp=sharing"",""งบพรบ!EH44"")"),0)</f>
        <v>0</v>
      </c>
      <c r="N320" s="93">
        <f ca="1">IFERROR(__xludf.DUMMYFUNCTION("IMPORTRANGE(""https://docs.google.com/spreadsheets/d/1MeEWN-I1oV_STSDYn1IFDPWt_1FKiwhDph83XaGc0o0/edit?usp=sharing"",""งบพรบ!EJ44"")"),0)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IFERROR(__xludf.DUMMYFUNCTION("IMPORTRANGE(""https://docs.google.com/spreadsheets/d/1MeEWN-I1oV_STSDYn1IFDPWt_1FKiwhDph83XaGc0o0/edit?usp=sharing"",""งบพรบ!EF44"")"),0)</f>
        <v>0</v>
      </c>
      <c r="M323" s="93">
        <f ca="1">IFERROR(__xludf.DUMMYFUNCTION("IMPORTRANGE(""https://docs.google.com/spreadsheets/d/1MeEWN-I1oV_STSDYn1IFDPWt_1FKiwhDph83XaGc0o0/edit?usp=sharing"",""งบพรบ!EI44"")"),0)</f>
        <v>0</v>
      </c>
      <c r="N323" s="93">
        <f ca="1">IFERROR(__xludf.DUMMYFUNCTION("IMPORTRANGE(""https://docs.google.com/spreadsheets/d/1MeEWN-I1oV_STSDYn1IFDPWt_1FKiwhDph83XaGc0o0/edit?usp=sharing"",""งบพรบ!EK44"")"),0)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IFERROR(__xludf.DUMMYFUNCTION("IMPORTRANGE(""https://docs.google.com/spreadsheets/d/1QqKyyYR6Q21VydFLVH3TRQUabQu_ym0Zz7PgGX0-kHA/edit?usp=sharing"",""แผน!EG44"")"),6700)</f>
        <v>6700</v>
      </c>
      <c r="J327" s="444">
        <f ca="1">J338+J341+J342+J343</f>
        <v>7475</v>
      </c>
      <c r="K327" s="445">
        <f ca="1">IF(I327&gt;0,J327*100/I327,0)</f>
        <v>111.56716417910448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186000</v>
      </c>
      <c r="M328" s="155">
        <f t="shared" ca="1" si="149"/>
        <v>142000</v>
      </c>
      <c r="N328" s="155">
        <f t="shared" ca="1" si="149"/>
        <v>110577.14</v>
      </c>
      <c r="O328" s="155">
        <f t="shared" ref="O328:O336" ca="1" si="150">IF(L328&gt;0,N328*100/L328,0)</f>
        <v>59.450075268817201</v>
      </c>
      <c r="P328" s="155">
        <f t="shared" ref="P328:P336" ca="1" si="151">IF(M328&gt;0,N328*100/M328,0)</f>
        <v>77.871225352112674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186000</v>
      </c>
      <c r="M330" s="93">
        <f t="shared" ca="1" si="152"/>
        <v>142000</v>
      </c>
      <c r="N330" s="93">
        <f t="shared" ca="1" si="152"/>
        <v>110577.14</v>
      </c>
      <c r="O330" s="93">
        <f t="shared" ca="1" si="150"/>
        <v>59.450075268817201</v>
      </c>
      <c r="P330" s="93">
        <f t="shared" ca="1" si="151"/>
        <v>77.871225352112674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186000</v>
      </c>
      <c r="M331" s="497">
        <f t="shared" ca="1" si="153"/>
        <v>142000</v>
      </c>
      <c r="N331" s="497">
        <f t="shared" ca="1" si="153"/>
        <v>110577.14</v>
      </c>
      <c r="O331" s="497">
        <f t="shared" ca="1" si="150"/>
        <v>59.450075268817201</v>
      </c>
      <c r="P331" s="497">
        <f t="shared" ca="1" si="151"/>
        <v>77.871225352112674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IFERROR(__xludf.DUMMYFUNCTION("IMPORTRANGE(""https://docs.google.com/spreadsheets/d/1MeEWN-I1oV_STSDYn1IFDPWt_1FKiwhDph83XaGc0o0/edit?usp=sharing"",""งบพรบ!EM44"")"),186000)</f>
        <v>186000</v>
      </c>
      <c r="M333" s="93">
        <f ca="1">IFERROR(__xludf.DUMMYFUNCTION("IMPORTRANGE(""https://docs.google.com/spreadsheets/d/1MeEWN-I1oV_STSDYn1IFDPWt_1FKiwhDph83XaGc0o0/edit?usp=sharing"",""งบพรบ!ER44"")"),142000)</f>
        <v>142000</v>
      </c>
      <c r="N333" s="93">
        <f ca="1">IFERROR(__xludf.DUMMYFUNCTION("IMPORTRANGE(""https://docs.google.com/spreadsheets/d/1MeEWN-I1oV_STSDYn1IFDPWt_1FKiwhDph83XaGc0o0/edit?usp=sharing"",""งบพรบ!ET44"")"),110577.14)</f>
        <v>110577.14</v>
      </c>
      <c r="O333" s="93">
        <f t="shared" ca="1" si="150"/>
        <v>59.450075268817201</v>
      </c>
      <c r="P333" s="93">
        <f t="shared" ca="1" si="151"/>
        <v>77.871225352112674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IFERROR(__xludf.DUMMYFUNCTION("IMPORTRANGE(""https://docs.google.com/spreadsheets/d/1MeEWN-I1oV_STSDYn1IFDPWt_1FKiwhDph83XaGc0o0/edit?usp=sharing"",""งบพรบ!EP44"")"),0)</f>
        <v>0</v>
      </c>
      <c r="M336" s="93">
        <f ca="1">IFERROR(__xludf.DUMMYFUNCTION("IMPORTRANGE(""https://docs.google.com/spreadsheets/d/1MeEWN-I1oV_STSDYn1IFDPWt_1FKiwhDph83XaGc0o0/edit?usp=sharing"",""งบพรบ!ES44"")"),0)</f>
        <v>0</v>
      </c>
      <c r="N336" s="93">
        <f ca="1">IFERROR(__xludf.DUMMYFUNCTION("IMPORTRANGE(""https://docs.google.com/spreadsheets/d/1MeEWN-I1oV_STSDYn1IFDPWt_1FKiwhDph83XaGc0o0/edit?usp=sharing"",""งบพรบ!EU44"")"),0)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IFERROR(__xludf.DUMMYFUNCTION("IMPORTRANGE(""https://docs.google.com/spreadsheets/d/1QqKyyYR6Q21VydFLVH3TRQUabQu_ym0Zz7PgGX0-kHA/edit?usp=sharing"",""แผน!EG44"")"),6700)</f>
        <v>6700</v>
      </c>
      <c r="J338" s="270">
        <f ca="1">IFERROR(__xludf.DUMMYFUNCTION("IMPORTRANGE(""https://docs.google.com/spreadsheets/d/1kVcqe37tkHyjCSG3S0O1AXqVkqjo8mSIZil3BcpIysc/edit?usp=sharing"",""ศูนย์!D44"")"),6615)</f>
        <v>6615</v>
      </c>
      <c r="K338" s="497">
        <f ca="1">IF(I338&gt;0,J338*100/I338,0)</f>
        <v>98.731343283582092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IFERROR(__xludf.DUMMYFUNCTION("IMPORTRANGE(""https://docs.google.com/spreadsheets/d/1QqKyyYR6Q21VydFLVH3TRQUabQu_ym0Zz7PgGX0-kHA/edit?usp=sharing"",""แผน!EH44"")"),9)</f>
        <v>9</v>
      </c>
      <c r="J340" s="270">
        <f ca="1">IFERROR(__xludf.DUMMYFUNCTION("IMPORTRANGE(""https://docs.google.com/spreadsheets/d/1kVcqe37tkHyjCSG3S0O1AXqVkqjo8mSIZil3BcpIysc/edit?usp=sharing"",""ศูนย์!E44"")"),7)</f>
        <v>7</v>
      </c>
      <c r="K340" s="497">
        <f ca="1">IF(I340&gt;0,J340*100/I340,0)</f>
        <v>77.777777777777771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IFERROR(__xludf.DUMMYFUNCTION("IMPORTRANGE(""https://docs.google.com/spreadsheets/d/1kVcqe37tkHyjCSG3S0O1AXqVkqjo8mSIZil3BcpIysc/edit?usp=sharing"",""ศูนย์!F44"")"),846)</f>
        <v>846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IFERROR(__xludf.DUMMYFUNCTION("IMPORTRANGE(""https://docs.google.com/spreadsheets/d/1kVcqe37tkHyjCSG3S0O1AXqVkqjo8mSIZil3BcpIysc/edit?usp=sharing"",""ศูนย์!G44"")"),1)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IFERROR(__xludf.DUMMYFUNCTION("IMPORTRANGE(""https://docs.google.com/spreadsheets/d/1kVcqe37tkHyjCSG3S0O1AXqVkqjo8mSIZil3BcpIysc/edit?usp=sharing"",""ศูนย์!H44"")"),13)</f>
        <v>13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2297570</v>
      </c>
      <c r="M345" s="155">
        <f t="shared" ca="1" si="155"/>
        <v>1766550</v>
      </c>
      <c r="N345" s="155">
        <f t="shared" ca="1" si="155"/>
        <v>1016469.96</v>
      </c>
      <c r="O345" s="155">
        <f t="shared" ref="O345:O353" ca="1" si="156">IF(L345&gt;0,N345*100/L345,0)</f>
        <v>44.24108775793556</v>
      </c>
      <c r="P345" s="155">
        <f t="shared" ref="P345:P353" ca="1" si="157">IF(M345&gt;0,N345*100/M345,0)</f>
        <v>57.539835272140614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2297570</v>
      </c>
      <c r="M347" s="93">
        <f t="shared" ca="1" si="158"/>
        <v>1766550</v>
      </c>
      <c r="N347" s="93">
        <f t="shared" ca="1" si="158"/>
        <v>1016469.96</v>
      </c>
      <c r="O347" s="93">
        <f t="shared" ca="1" si="156"/>
        <v>44.24108775793556</v>
      </c>
      <c r="P347" s="93">
        <f t="shared" ca="1" si="157"/>
        <v>57.539835272140614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2171170</v>
      </c>
      <c r="M348" s="497">
        <f t="shared" ca="1" si="159"/>
        <v>1640850</v>
      </c>
      <c r="N348" s="497">
        <f t="shared" ca="1" si="159"/>
        <v>890769.96</v>
      </c>
      <c r="O348" s="497">
        <f t="shared" ca="1" si="156"/>
        <v>41.027186263627442</v>
      </c>
      <c r="P348" s="497">
        <f t="shared" ca="1" si="157"/>
        <v>54.287104854191426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IFERROR(__xludf.DUMMYFUNCTION("IMPORTRANGE(""https://docs.google.com/spreadsheets/d/1MeEWN-I1oV_STSDYn1IFDPWt_1FKiwhDph83XaGc0o0/edit?usp=sharing"",""งบพรบ!EW44"")"),2171170)</f>
        <v>2171170</v>
      </c>
      <c r="M350" s="93">
        <f ca="1">IFERROR(__xludf.DUMMYFUNCTION("IMPORTRANGE(""https://docs.google.com/spreadsheets/d/1MeEWN-I1oV_STSDYn1IFDPWt_1FKiwhDph83XaGc0o0/edit?usp=sharing"",""งบพรบ!FB44"")"),1640850)</f>
        <v>1640850</v>
      </c>
      <c r="N350" s="93">
        <f ca="1">IFERROR(__xludf.DUMMYFUNCTION("IMPORTRANGE(""https://docs.google.com/spreadsheets/d/1MeEWN-I1oV_STSDYn1IFDPWt_1FKiwhDph83XaGc0o0/edit?usp=sharing"",""งบพรบ!FD44"")"),890769.96)</f>
        <v>890769.96</v>
      </c>
      <c r="O350" s="93">
        <f t="shared" ca="1" si="156"/>
        <v>41.027186263627442</v>
      </c>
      <c r="P350" s="93">
        <f t="shared" ca="1" si="157"/>
        <v>54.287104854191426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126400</v>
      </c>
      <c r="M351" s="497">
        <f t="shared" ca="1" si="160"/>
        <v>125700</v>
      </c>
      <c r="N351" s="497">
        <f t="shared" ca="1" si="160"/>
        <v>125700</v>
      </c>
      <c r="O351" s="497">
        <f t="shared" ca="1" si="156"/>
        <v>99.446202531645568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IFERROR(__xludf.DUMMYFUNCTION("IMPORTRANGE(""https://docs.google.com/spreadsheets/d/1MeEWN-I1oV_STSDYn1IFDPWt_1FKiwhDph83XaGc0o0/edit?usp=sharing"",""งบพรบ!EZ44"")"),126400)</f>
        <v>126400</v>
      </c>
      <c r="M353" s="93">
        <f ca="1">IFERROR(__xludf.DUMMYFUNCTION("IMPORTRANGE(""https://docs.google.com/spreadsheets/d/1MeEWN-I1oV_STSDYn1IFDPWt_1FKiwhDph83XaGc0o0/edit?usp=sharing"",""งบพรบ!FC44"")"),125700)</f>
        <v>125700</v>
      </c>
      <c r="N353" s="93">
        <f ca="1">IFERROR(__xludf.DUMMYFUNCTION("IMPORTRANGE(""https://docs.google.com/spreadsheets/d/1MeEWN-I1oV_STSDYn1IFDPWt_1FKiwhDph83XaGc0o0/edit?usp=sharing"",""งบพรบ!FE44"")"),125700)</f>
        <v>125700</v>
      </c>
      <c r="O353" s="93">
        <f t="shared" ca="1" si="156"/>
        <v>99.446202531645568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IFERROR(__xludf.DUMMYFUNCTION("IMPORTRANGE(""https://docs.google.com/spreadsheets/d/1QqKyyYR6Q21VydFLVH3TRQUabQu_ym0Zz7PgGX0-kHA/edit?usp=sharing"",""แผน!EP44"")"),1112)</f>
        <v>1112</v>
      </c>
      <c r="J355" s="464">
        <f ca="1">J362</f>
        <v>115</v>
      </c>
      <c r="K355" s="465">
        <f ca="1">IF(I355&gt;0,J355*100/I355,0)</f>
        <v>10.341726618705035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IFERROR(__xludf.DUMMYFUNCTION("IMPORTRANGE(""https://docs.google.com/spreadsheets/d/1XWAQStnk-4SwqDmLtmXYiTMKHgktTP8We1SCoS47DrQ/edit?usp=sharing"",""จัดที่ดิน!W44"")"),675)</f>
        <v>675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IFERROR(__xludf.DUMMYFUNCTION("IMPORTRANGE(""https://docs.google.com/spreadsheets/d/1QqKyyYR6Q21VydFLVH3TRQUabQu_ym0Zz7PgGX0-kHA/edit?usp=sharing"",""แผน!EO44"")"),11120)</f>
        <v>11120</v>
      </c>
      <c r="J359" s="270">
        <f ca="1">IFERROR(__xludf.DUMMYFUNCTION("IMPORTRANGE(""https://docs.google.com/spreadsheets/d/1XWAQStnk-4SwqDmLtmXYiTMKHgktTP8We1SCoS47DrQ/edit?usp=sharing"",""จัดที่ดิน!X44"")"),4055.45)</f>
        <v>4055.45</v>
      </c>
      <c r="K359" s="497">
        <f t="shared" ca="1" si="161"/>
        <v>36.469874100719423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IFERROR(__xludf.DUMMYFUNCTION("IMPORTRANGE(""https://docs.google.com/spreadsheets/d/1QqKyyYR6Q21VydFLVH3TRQUabQu_ym0Zz7PgGX0-kHA/edit?usp=sharing"",""แผน!EP44"")"),1112)</f>
        <v>1112</v>
      </c>
      <c r="J360" s="270">
        <f ca="1">IFERROR(__xludf.DUMMYFUNCTION("IMPORTRANGE(""https://docs.google.com/spreadsheets/d/1XWAQStnk-4SwqDmLtmXYiTMKHgktTP8We1SCoS47DrQ/edit?usp=sharing"",""จัดที่ดิน!Y44"")"),596)</f>
        <v>596</v>
      </c>
      <c r="K360" s="497">
        <f t="shared" ca="1" si="161"/>
        <v>53.597122302158276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IFERROR(__xludf.DUMMYFUNCTION("IMPORTRANGE(""https://docs.google.com/spreadsheets/d/1XWAQStnk-4SwqDmLtmXYiTMKHgktTP8We1SCoS47DrQ/edit?usp=sharing"",""จัดที่ดิน!Z44"")"),3602.71)</f>
        <v>3602.71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IFERROR(__xludf.DUMMYFUNCTION("IMPORTRANGE(""https://docs.google.com/spreadsheets/d/1QqKyyYR6Q21VydFLVH3TRQUabQu_ym0Zz7PgGX0-kHA/edit?usp=sharing"",""แผน!EP44"")"),1112)</f>
        <v>1112</v>
      </c>
      <c r="J362" s="270">
        <f ca="1">IFERROR(__xludf.DUMMYFUNCTION("IMPORTRANGE(""https://docs.google.com/spreadsheets/d/1XWAQStnk-4SwqDmLtmXYiTMKHgktTP8We1SCoS47DrQ/edit?usp=sharing"",""จัดที่ดิน!AA44"")"),115)</f>
        <v>115</v>
      </c>
      <c r="K362" s="497">
        <f t="shared" ca="1" si="161"/>
        <v>10.341726618705035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IFERROR(__xludf.DUMMYFUNCTION("IMPORTRANGE(""https://docs.google.com/spreadsheets/d/1XWAQStnk-4SwqDmLtmXYiTMKHgktTP8We1SCoS47DrQ/edit?usp=sharing"",""จัดที่ดิน!AB44"")"),597.48)</f>
        <v>597.48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2112</v>
      </c>
      <c r="J364" s="478">
        <f t="shared" ca="1" si="162"/>
        <v>789</v>
      </c>
      <c r="K364" s="479">
        <f t="shared" ca="1" si="161"/>
        <v>37.357954545454547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IFERROR(__xludf.DUMMYFUNCTION("IMPORTRANGE(""https://docs.google.com/spreadsheets/d/1QqKyyYR6Q21VydFLVH3TRQUabQu_ym0Zz7PgGX0-kHA/edit?usp=sharing"",""แผน!EJ44"")"),312)</f>
        <v>312</v>
      </c>
      <c r="J365" s="490">
        <f ca="1">J372</f>
        <v>81</v>
      </c>
      <c r="K365" s="491">
        <f t="shared" ca="1" si="161"/>
        <v>25.96153846153846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IFERROR(__xludf.DUMMYFUNCTION("IMPORTRANGE(""https://docs.google.com/spreadsheets/d/1XWAQStnk-4SwqDmLtmXYiTMKHgktTP8We1SCoS47DrQ/edit?usp=sharing"",""จัดที่ดิน!E44"")"),228)</f>
        <v>228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IFERROR(__xludf.DUMMYFUNCTION("IMPORTRANGE(""https://docs.google.com/spreadsheets/d/1QqKyyYR6Q21VydFLVH3TRQUabQu_ym0Zz7PgGX0-kHA/edit?usp=sharing"",""แผน!EI44"")"),3120)</f>
        <v>3120</v>
      </c>
      <c r="J369" s="270">
        <f ca="1">IFERROR(__xludf.DUMMYFUNCTION("IMPORTRANGE(""https://docs.google.com/spreadsheets/d/1XWAQStnk-4SwqDmLtmXYiTMKHgktTP8We1SCoS47DrQ/edit?usp=sharing"",""จัดที่ดิน!F44"")"),1562.38)</f>
        <v>1562.38</v>
      </c>
      <c r="K369" s="497">
        <f t="shared" ca="1" si="163"/>
        <v>50.07628205128205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IFERROR(__xludf.DUMMYFUNCTION("IMPORTRANGE(""https://docs.google.com/spreadsheets/d/1QqKyyYR6Q21VydFLVH3TRQUabQu_ym0Zz7PgGX0-kHA/edit?usp=sharing"",""แผน!EJ44"")"),312)</f>
        <v>312</v>
      </c>
      <c r="J370" s="270">
        <f ca="1">IFERROR(__xludf.DUMMYFUNCTION("IMPORTRANGE(""https://docs.google.com/spreadsheets/d/1XWAQStnk-4SwqDmLtmXYiTMKHgktTP8We1SCoS47DrQ/edit?usp=sharing"",""จัดที่ดิน!G44"")"),159)</f>
        <v>159</v>
      </c>
      <c r="K370" s="497">
        <f t="shared" ca="1" si="163"/>
        <v>50.96153846153846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IFERROR(__xludf.DUMMYFUNCTION("IMPORTRANGE(""https://docs.google.com/spreadsheets/d/1XWAQStnk-4SwqDmLtmXYiTMKHgktTP8We1SCoS47DrQ/edit?usp=sharing"",""จัดที่ดิน!H44"")"),1175.41)</f>
        <v>1175.4100000000001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IFERROR(__xludf.DUMMYFUNCTION("IMPORTRANGE(""https://docs.google.com/spreadsheets/d/1QqKyyYR6Q21VydFLVH3TRQUabQu_ym0Zz7PgGX0-kHA/edit?usp=sharing"",""แผน!EJ44"")"),312)</f>
        <v>312</v>
      </c>
      <c r="J372" s="270">
        <f ca="1">IFERROR(__xludf.DUMMYFUNCTION("IMPORTRANGE(""https://docs.google.com/spreadsheets/d/1XWAQStnk-4SwqDmLtmXYiTMKHgktTP8We1SCoS47DrQ/edit?usp=sharing"",""จัดที่ดิน!I44"")"),81)</f>
        <v>81</v>
      </c>
      <c r="K372" s="497">
        <f t="shared" ca="1" si="163"/>
        <v>25.96153846153846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IFERROR(__xludf.DUMMYFUNCTION("IMPORTRANGE(""https://docs.google.com/spreadsheets/d/1XWAQStnk-4SwqDmLtmXYiTMKHgktTP8We1SCoS47DrQ/edit?usp=sharing"",""จัดที่ดิน!J44"")"),421.49)</f>
        <v>421.49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IFERROR(__xludf.DUMMYFUNCTION("IMPORTRANGE(""https://docs.google.com/spreadsheets/d/1QqKyyYR6Q21VydFLVH3TRQUabQu_ym0Zz7PgGX0-kHA/edit?usp=sharing"",""แผน!EU44"")"),1800)</f>
        <v>1800</v>
      </c>
      <c r="J374" s="490">
        <f ca="1">J381</f>
        <v>708</v>
      </c>
      <c r="K374" s="491">
        <f t="shared" ca="1" si="163"/>
        <v>39.333333333333336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IFERROR(__xludf.DUMMYFUNCTION("IMPORTRANGE(""https://docs.google.com/spreadsheets/d/1XWAQStnk-4SwqDmLtmXYiTMKHgktTP8We1SCoS47DrQ/edit?usp=sharing"",""จัดที่ดิน!AH44"")"),447)</f>
        <v>447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IFERROR(__xludf.DUMMYFUNCTION("IMPORTRANGE(""https://docs.google.com/spreadsheets/d/1QqKyyYR6Q21VydFLVH3TRQUabQu_ym0Zz7PgGX0-kHA/edit?usp=sharing"",""แผน!ET44"")"),8000)</f>
        <v>8000</v>
      </c>
      <c r="J378" s="270">
        <f ca="1">IFERROR(__xludf.DUMMYFUNCTION("IMPORTRANGE(""https://docs.google.com/spreadsheets/d/1XWAQStnk-4SwqDmLtmXYiTMKHgktTP8We1SCoS47DrQ/edit?usp=sharing"",""จัดที่ดิน!AI44"")"),2493.07)</f>
        <v>2493.0700000000002</v>
      </c>
      <c r="K378" s="497">
        <f t="shared" ca="1" si="164"/>
        <v>31.163375000000002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IFERROR(__xludf.DUMMYFUNCTION("IMPORTRANGE(""https://docs.google.com/spreadsheets/d/1QqKyyYR6Q21VydFLVH3TRQUabQu_ym0Zz7PgGX0-kHA/edit?usp=sharing"",""แผน!EU44"")"),1800)</f>
        <v>1800</v>
      </c>
      <c r="J379" s="270">
        <f ca="1">IFERROR(__xludf.DUMMYFUNCTION("IMPORTRANGE(""https://docs.google.com/spreadsheets/d/1XWAQStnk-4SwqDmLtmXYiTMKHgktTP8We1SCoS47DrQ/edit?usp=sharing"",""จัดที่ดิน!AJ44"")"),1113)</f>
        <v>1113</v>
      </c>
      <c r="K379" s="497">
        <f t="shared" ca="1" si="164"/>
        <v>61.833333333333336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IFERROR(__xludf.DUMMYFUNCTION("IMPORTRANGE(""https://docs.google.com/spreadsheets/d/1XWAQStnk-4SwqDmLtmXYiTMKHgktTP8We1SCoS47DrQ/edit?usp=sharing"",""จัดที่ดิน!AK44"")"),7870.86)</f>
        <v>7870.86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IFERROR(__xludf.DUMMYFUNCTION("IMPORTRANGE(""https://docs.google.com/spreadsheets/d/1QqKyyYR6Q21VydFLVH3TRQUabQu_ym0Zz7PgGX0-kHA/edit?usp=sharing"",""แผน!EU44"")"),1800)</f>
        <v>1800</v>
      </c>
      <c r="J381" s="270">
        <f ca="1">IFERROR(__xludf.DUMMYFUNCTION("IMPORTRANGE(""https://docs.google.com/spreadsheets/d/1XWAQStnk-4SwqDmLtmXYiTMKHgktTP8We1SCoS47DrQ/edit?usp=sharing"",""จัดที่ดิน!AL44"")"),708)</f>
        <v>708</v>
      </c>
      <c r="K381" s="497">
        <f t="shared" ca="1" si="164"/>
        <v>39.333333333333336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IFERROR(__xludf.DUMMYFUNCTION("IMPORTRANGE(""https://docs.google.com/spreadsheets/d/1XWAQStnk-4SwqDmLtmXYiTMKHgktTP8We1SCoS47DrQ/edit?usp=sharing"",""จัดที่ดิน!AM44"")"),5600.55)</f>
        <v>5600.55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IFERROR(__xludf.DUMMYFUNCTION("IMPORTRANGE(""https://docs.google.com/spreadsheets/d/1QqKyyYR6Q21VydFLVH3TRQUabQu_ym0Zz7PgGX0-kHA/edit?usp=sharing"",""แผน!EW44"")"),150)</f>
        <v>150</v>
      </c>
      <c r="J385" s="504">
        <f ca="1">IFERROR(__xludf.DUMMYFUNCTION("IMPORTRANGE(""https://docs.google.com/spreadsheets/d/1XWAQStnk-4SwqDmLtmXYiTMKHgktTP8We1SCoS47DrQ/edit?usp=sharing"",""จัดที่ดิน!AP44"")"),3)</f>
        <v>3</v>
      </c>
      <c r="K385" s="505">
        <f ca="1">IF(I385&gt;0,J385*100/I385,0)</f>
        <v>2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IFERROR(__xludf.DUMMYFUNCTION("IMPORTRANGE(""https://docs.google.com/spreadsheets/d/1MeEWN-I1oV_STSDYn1IFDPWt_1FKiwhDph83XaGc0o0/edit?usp=sharing"",""งบพรบ!FG44"")"),0)</f>
        <v>0</v>
      </c>
      <c r="M394" s="93">
        <f ca="1">IFERROR(__xludf.DUMMYFUNCTION("IMPORTRANGE(""https://docs.google.com/spreadsheets/d/1MeEWN-I1oV_STSDYn1IFDPWt_1FKiwhDph83XaGc0o0/edit?usp=sharing"",""งบพรบ!FL44"")"),0)</f>
        <v>0</v>
      </c>
      <c r="N394" s="93">
        <f ca="1">IFERROR(__xludf.DUMMYFUNCTION("IMPORTRANGE(""https://docs.google.com/spreadsheets/d/1MeEWN-I1oV_STSDYn1IFDPWt_1FKiwhDph83XaGc0o0/edit?usp=sharing"",""งบพรบ!FN44"")"),0)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IFERROR(__xludf.DUMMYFUNCTION("IMPORTRANGE(""https://docs.google.com/spreadsheets/d/1MeEWN-I1oV_STSDYn1IFDPWt_1FKiwhDph83XaGc0o0/edit?usp=sharing"",""งบพรบ!FJ44"")"),0)</f>
        <v>0</v>
      </c>
      <c r="M397" s="93">
        <f ca="1">IFERROR(__xludf.DUMMYFUNCTION("IMPORTRANGE(""https://docs.google.com/spreadsheets/d/1MeEWN-I1oV_STSDYn1IFDPWt_1FKiwhDph83XaGc0o0/edit?usp=sharing"",""งบพรบ!FM44"")"),0)</f>
        <v>0</v>
      </c>
      <c r="N397" s="93">
        <f ca="1">IFERROR(__xludf.DUMMYFUNCTION("IMPORTRANGE(""https://docs.google.com/spreadsheets/d/1MeEWN-I1oV_STSDYn1IFDPWt_1FKiwhDph83XaGc0o0/edit?usp=sharing"",""งบพรบ!FO44"")"),0)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IFERROR(__xludf.DUMMYFUNCTION("IMPORTRANGE(""https://docs.google.com/spreadsheets/d/1MeEWN-I1oV_STSDYn1IFDPWt_1FKiwhDph83XaGc0o0/edit?usp=sharing"",""งบพรบ!FQ44"")"),0)</f>
        <v>0</v>
      </c>
      <c r="M407" s="93">
        <f ca="1">IFERROR(__xludf.DUMMYFUNCTION("IMPORTRANGE(""https://docs.google.com/spreadsheets/d/1MeEWN-I1oV_STSDYn1IFDPWt_1FKiwhDph83XaGc0o0/edit?usp=sharing"",""งบพรบ!FV44"")"),0)</f>
        <v>0</v>
      </c>
      <c r="N407" s="93">
        <f ca="1">IFERROR(__xludf.DUMMYFUNCTION("IMPORTRANGE(""https://docs.google.com/spreadsheets/d/1MeEWN-I1oV_STSDYn1IFDPWt_1FKiwhDph83XaGc0o0/edit?usp=sharing"",""งบพรบ!FX44"")"),0)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IFERROR(__xludf.DUMMYFUNCTION("IMPORTRANGE(""https://docs.google.com/spreadsheets/d/1MeEWN-I1oV_STSDYn1IFDPWt_1FKiwhDph83XaGc0o0/edit?usp=sharing"",""งบพรบ!FT44"")"),0)</f>
        <v>0</v>
      </c>
      <c r="M410" s="93">
        <f ca="1">IFERROR(__xludf.DUMMYFUNCTION("IMPORTRANGE(""https://docs.google.com/spreadsheets/d/1MeEWN-I1oV_STSDYn1IFDPWt_1FKiwhDph83XaGc0o0/edit?usp=sharing"",""งบพรบ!FW44"")"),0)</f>
        <v>0</v>
      </c>
      <c r="N410" s="93">
        <f ca="1">IFERROR(__xludf.DUMMYFUNCTION("IMPORTRANGE(""https://docs.google.com/spreadsheets/d/1MeEWN-I1oV_STSDYn1IFDPWt_1FKiwhDph83XaGc0o0/edit?usp=sharing"",""งบพรบ!FY44"")"),0)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2315871</v>
      </c>
      <c r="M414" s="552">
        <f t="shared" ca="1" si="181"/>
        <v>2315871</v>
      </c>
      <c r="N414" s="552">
        <f t="shared" si="181"/>
        <v>674215.1</v>
      </c>
      <c r="O414" s="552">
        <f ca="1">IF(L414&gt;0,N414*100/L414,0)</f>
        <v>29.112808960430005</v>
      </c>
      <c r="P414" s="552">
        <f ca="1">IF(M414&gt;0,N414*100/M414,0)</f>
        <v>29.112808960430005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55</v>
      </c>
      <c r="J417" s="568">
        <f t="shared" ca="1" si="182"/>
        <v>0</v>
      </c>
      <c r="K417" s="569">
        <f t="shared" ref="K417:K418" ca="1" si="183">IF(I417&gt;0,J417*100/I417,0)</f>
        <v>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0</v>
      </c>
      <c r="K418" s="569">
        <f t="shared" ca="1" si="183"/>
        <v>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163360</v>
      </c>
      <c r="M419" s="155">
        <f t="shared" ca="1" si="184"/>
        <v>163360</v>
      </c>
      <c r="N419" s="155">
        <f t="shared" si="184"/>
        <v>24380</v>
      </c>
      <c r="O419" s="155">
        <f t="shared" ref="O419:O424" ca="1" si="185">IF(L419&gt;0,N419*100/L419,0)</f>
        <v>14.92409402546523</v>
      </c>
      <c r="P419" s="155">
        <f t="shared" ref="P419:P424" ca="1" si="186">IF(M419&gt;0,N419*100/M419,0)</f>
        <v>14.92409402546523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163360</v>
      </c>
      <c r="M421" s="93">
        <f t="shared" ca="1" si="187"/>
        <v>163360</v>
      </c>
      <c r="N421" s="93">
        <f t="shared" si="187"/>
        <v>24380</v>
      </c>
      <c r="O421" s="93">
        <f t="shared" ca="1" si="185"/>
        <v>14.92409402546523</v>
      </c>
      <c r="P421" s="93">
        <f t="shared" ca="1" si="186"/>
        <v>14.92409402546523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163360</v>
      </c>
      <c r="M422" s="497">
        <f t="shared" ca="1" si="188"/>
        <v>163360</v>
      </c>
      <c r="N422" s="497">
        <f t="shared" si="188"/>
        <v>24380</v>
      </c>
      <c r="O422" s="497">
        <f t="shared" ca="1" si="185"/>
        <v>14.92409402546523</v>
      </c>
      <c r="P422" s="497">
        <f t="shared" ca="1" si="186"/>
        <v>14.92409402546523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IFERROR(__xludf.DUMMYFUNCTION("IMPORTRANGE(""https://docs.google.com/spreadsheets/d/1QqKyyYR6Q21VydFLVH3TRQUabQu_ym0Zz7PgGX0-kHA/edit?usp=sharing"",""แผน!EY44"")"),163360)</f>
        <v>163360</v>
      </c>
      <c r="M424" s="93">
        <f ca="1">L424</f>
        <v>163360</v>
      </c>
      <c r="N424" s="93">
        <f>N425+N426+N427+N428</f>
        <v>24380</v>
      </c>
      <c r="O424" s="93">
        <f t="shared" ca="1" si="185"/>
        <v>14.92409402546523</v>
      </c>
      <c r="P424" s="93">
        <f t="shared" ca="1" si="186"/>
        <v>14.92409402546523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18960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5420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55</v>
      </c>
      <c r="J433" s="679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IFERROR(__xludf.DUMMYFUNCTION("IMPORTRANGE(""https://docs.google.com/spreadsheets/d/1QqKyyYR6Q21VydFLVH3TRQUabQu_ym0Zz7PgGX0-kHA/edit?usp=sharing"",""แผน!FC44"")"),55)</f>
        <v>55</v>
      </c>
      <c r="J435" s="582">
        <v>55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IFERROR(__xludf.DUMMYFUNCTION("IMPORTRANGE(""https://docs.google.com/spreadsheets/d/1QqKyyYR6Q21VydFLVH3TRQUabQu_ym0Zz7PgGX0-kHA/edit?usp=sharing"",""แผน!FF44"")"),55)</f>
        <v>55</v>
      </c>
      <c r="J439" s="582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200</v>
      </c>
      <c r="J443" s="568">
        <f t="shared" si="196"/>
        <v>200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403680</v>
      </c>
      <c r="M444" s="195">
        <f t="shared" ca="1" si="197"/>
        <v>403680</v>
      </c>
      <c r="N444" s="195">
        <f t="shared" si="197"/>
        <v>158750</v>
      </c>
      <c r="O444" s="195">
        <f t="shared" ref="O444:O449" ca="1" si="198">IF(L444&gt;0,N444*100/L444,0)</f>
        <v>39.325703527546573</v>
      </c>
      <c r="P444" s="195">
        <f t="shared" ref="P444:P449" ca="1" si="199">IF(M444&gt;0,N444*100/M444,0)</f>
        <v>39.325703527546573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403680</v>
      </c>
      <c r="M446" s="93">
        <f t="shared" ca="1" si="200"/>
        <v>403680</v>
      </c>
      <c r="N446" s="93">
        <f t="shared" si="200"/>
        <v>158750</v>
      </c>
      <c r="O446" s="93">
        <f t="shared" ca="1" si="198"/>
        <v>39.325703527546573</v>
      </c>
      <c r="P446" s="93">
        <f t="shared" ca="1" si="199"/>
        <v>39.325703527546573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403680</v>
      </c>
      <c r="M447" s="497">
        <f t="shared" ca="1" si="201"/>
        <v>403680</v>
      </c>
      <c r="N447" s="497">
        <f t="shared" si="201"/>
        <v>158750</v>
      </c>
      <c r="O447" s="497">
        <f t="shared" ca="1" si="198"/>
        <v>39.325703527546573</v>
      </c>
      <c r="P447" s="497">
        <f t="shared" ca="1" si="199"/>
        <v>39.325703527546573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IFERROR(__xludf.DUMMYFUNCTION("IMPORTRANGE(""https://docs.google.com/spreadsheets/d/1QqKyyYR6Q21VydFLVH3TRQUabQu_ym0Zz7PgGX0-kHA/edit?usp=sharing"",""แผน!FJ44"")"),403680)</f>
        <v>403680</v>
      </c>
      <c r="M449" s="93">
        <f ca="1">L449</f>
        <v>403680</v>
      </c>
      <c r="N449" s="93">
        <f>N450+N451+N452+N453</f>
        <v>158750</v>
      </c>
      <c r="O449" s="93">
        <f t="shared" ca="1" si="198"/>
        <v>39.325703527546573</v>
      </c>
      <c r="P449" s="93">
        <f t="shared" ca="1" si="199"/>
        <v>39.325703527546573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36190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61400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52000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9160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IFERROR(__xludf.DUMMYFUNCTION("IMPORTRANGE(""https://docs.google.com/spreadsheets/d/1QqKyyYR6Q21VydFLVH3TRQUabQu_ym0Zz7PgGX0-kHA/edit?usp=sharing"",""แผน!FN44"")"),40)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IFERROR(__xludf.DUMMYFUNCTION("IMPORTRANGE(""https://docs.google.com/spreadsheets/d/1QqKyyYR6Q21VydFLVH3TRQUabQu_ym0Zz7PgGX0-kHA/edit?usp=sharing"",""แผน!FO44"")"),200)</f>
        <v>200</v>
      </c>
      <c r="J462" s="215">
        <v>200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IFERROR(__xludf.DUMMYFUNCTION("IMPORTRANGE(""https://docs.google.com/spreadsheets/d/1QqKyyYR6Q21VydFLVH3TRQUabQu_ym0Zz7PgGX0-kHA/edit?usp=sharing"",""แผน!FO44"")"),200)</f>
        <v>200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IFERROR(__xludf.DUMMYFUNCTION("IMPORTRANGE(""https://docs.google.com/spreadsheets/d/1QqKyyYR6Q21VydFLVH3TRQUabQu_ym0Zz7PgGX0-kHA/edit?usp=sharing"",""แผน!FN44"")"),40)</f>
        <v>40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IFERROR(__xludf.DUMMYFUNCTION("IMPORTRANGE(""https://docs.google.com/spreadsheets/d/1QqKyyYR6Q21VydFLVH3TRQUabQu_ym0Zz7PgGX0-kHA/edit?usp=sharing"",""แผน!FX44"")"),51)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414503</v>
      </c>
      <c r="M467" s="195">
        <f t="shared" ca="1" si="206"/>
        <v>414503</v>
      </c>
      <c r="N467" s="195">
        <f t="shared" si="206"/>
        <v>41595.1</v>
      </c>
      <c r="O467" s="195">
        <f t="shared" ref="O467:O472" ca="1" si="207">IF(L467&gt;0,N467*100/L467,0)</f>
        <v>10.034933402170793</v>
      </c>
      <c r="P467" s="195">
        <f t="shared" ref="P467:P472" ca="1" si="208">IF(M467&gt;0,N467*100/M467,0)</f>
        <v>10.034933402170793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414503</v>
      </c>
      <c r="M469" s="93">
        <f t="shared" ca="1" si="209"/>
        <v>414503</v>
      </c>
      <c r="N469" s="93">
        <f t="shared" si="209"/>
        <v>41595.1</v>
      </c>
      <c r="O469" s="93">
        <f t="shared" ca="1" si="207"/>
        <v>10.034933402170793</v>
      </c>
      <c r="P469" s="93">
        <f t="shared" ca="1" si="208"/>
        <v>10.034933402170793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414503</v>
      </c>
      <c r="M470" s="497">
        <f t="shared" ca="1" si="210"/>
        <v>414503</v>
      </c>
      <c r="N470" s="497">
        <f t="shared" si="210"/>
        <v>41595.1</v>
      </c>
      <c r="O470" s="497">
        <f t="shared" ca="1" si="207"/>
        <v>10.034933402170793</v>
      </c>
      <c r="P470" s="497">
        <f t="shared" ca="1" si="208"/>
        <v>10.034933402170793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IFERROR(__xludf.DUMMYFUNCTION("IMPORTRANGE(""https://docs.google.com/spreadsheets/d/1QqKyyYR6Q21VydFLVH3TRQUabQu_ym0Zz7PgGX0-kHA/edit?usp=sharing"",""แผน!FS44"")"),414503)</f>
        <v>414503</v>
      </c>
      <c r="M472" s="93">
        <f ca="1">L472</f>
        <v>414503</v>
      </c>
      <c r="N472" s="93">
        <f>N473+N474+N475+N476</f>
        <v>41595.1</v>
      </c>
      <c r="O472" s="93">
        <f t="shared" ca="1" si="207"/>
        <v>10.034933402170793</v>
      </c>
      <c r="P472" s="93">
        <f t="shared" ca="1" si="208"/>
        <v>10.034933402170793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39875.1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1720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11002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786183</v>
      </c>
      <c r="M544" s="155">
        <f t="shared" ca="1" si="236"/>
        <v>786183</v>
      </c>
      <c r="N544" s="155">
        <f t="shared" si="236"/>
        <v>152760</v>
      </c>
      <c r="O544" s="155">
        <f t="shared" ref="O544:O549" ca="1" si="237">IF(L544&gt;0,N544*100/L544,0)</f>
        <v>19.4305905876876</v>
      </c>
      <c r="P544" s="155">
        <f t="shared" ref="P544:P549" ca="1" si="238">IF(M544&gt;0,N544*100/M544,0)</f>
        <v>19.4305905876876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786183</v>
      </c>
      <c r="M546" s="93">
        <f t="shared" ca="1" si="240"/>
        <v>786183</v>
      </c>
      <c r="N546" s="93">
        <f t="shared" si="240"/>
        <v>152760</v>
      </c>
      <c r="O546" s="93">
        <f t="shared" ca="1" si="237"/>
        <v>19.4305905876876</v>
      </c>
      <c r="P546" s="93">
        <f t="shared" ca="1" si="238"/>
        <v>19.4305905876876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786183</v>
      </c>
      <c r="M547" s="497">
        <f t="shared" ca="1" si="241"/>
        <v>786183</v>
      </c>
      <c r="N547" s="497">
        <f t="shared" si="241"/>
        <v>152760</v>
      </c>
      <c r="O547" s="497">
        <f t="shared" ca="1" si="237"/>
        <v>19.4305905876876</v>
      </c>
      <c r="P547" s="497">
        <f t="shared" ca="1" si="238"/>
        <v>19.4305905876876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IFERROR(__xludf.DUMMYFUNCTION("IMPORTRANGE(""https://docs.google.com/spreadsheets/d/1QqKyyYR6Q21VydFLVH3TRQUabQu_ym0Zz7PgGX0-kHA/edit?usp=sharing"",""แผน!HB44"")"),786183)</f>
        <v>786183</v>
      </c>
      <c r="M549" s="93">
        <f ca="1">L549</f>
        <v>786183</v>
      </c>
      <c r="N549" s="93">
        <f>N550+N551+N552+N553+N554</f>
        <v>152760</v>
      </c>
      <c r="O549" s="93">
        <f t="shared" ca="1" si="237"/>
        <v>19.4305905876876</v>
      </c>
      <c r="P549" s="93">
        <f t="shared" ca="1" si="238"/>
        <v>19.4305905876876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52000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100760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11002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IFERROR(__xludf.DUMMYFUNCTION("IMPORTRANGE(""https://docs.google.com/spreadsheets/d/1QqKyyYR6Q21VydFLVH3TRQUabQu_ym0Zz7PgGX0-kHA/edit?usp=sharing"",""แผน!HH44"")"),11002)</f>
        <v>11002</v>
      </c>
      <c r="J560" s="193">
        <f t="shared" ref="J560:J561" si="247">J562+J564+J566</f>
        <v>11005.5</v>
      </c>
      <c r="K560" s="411">
        <f t="shared" ca="1" si="246"/>
        <v>100.03181239774587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IFERROR(__xludf.DUMMYFUNCTION("IMPORTRANGE(""https://docs.google.com/spreadsheets/d/1QqKyyYR6Q21VydFLVH3TRQUabQu_ym0Zz7PgGX0-kHA/edit?usp=sharing"",""แผน!HG44"")"),4838)</f>
        <v>4838</v>
      </c>
      <c r="J561" s="193">
        <f t="shared" si="247"/>
        <v>4838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8505.2000000000007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3981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1549.3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492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951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IFERROR(__xludf.DUMMYFUNCTION("IMPORTRANGE(""https://docs.google.com/spreadsheets/d/1QqKyyYR6Q21VydFLVH3TRQUabQu_ym0Zz7PgGX0-kHA/edit?usp=sharing"",""แผน!HH44"")"),11002)</f>
        <v>11002</v>
      </c>
      <c r="J568" s="679">
        <f t="shared" ref="J568:J569" si="248">J570+J572+J574</f>
        <v>11002.67</v>
      </c>
      <c r="K568" s="411">
        <f t="shared" ref="K568:K569" ca="1" si="249">IF(I568&gt;0,J568*100/I568,0)</f>
        <v>100.0060898018542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IFERROR(__xludf.DUMMYFUNCTION("IMPORTRANGE(""https://docs.google.com/spreadsheets/d/1QqKyyYR6Q21VydFLVH3TRQUabQu_ym0Zz7PgGX0-kHA/edit?usp=sharing"",""แผน!HG44"")"),4838)</f>
        <v>4838</v>
      </c>
      <c r="J569" s="679">
        <f t="shared" si="248"/>
        <v>4838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8560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4013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1399.67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440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1043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IFERROR(__xludf.DUMMYFUNCTION("IMPORTRANGE(""https://docs.google.com/spreadsheets/d/1QqKyyYR6Q21VydFLVH3TRQUabQu_ym0Zz7PgGX0-kHA/edit?usp=sharing"",""แผน!HH44"")"),11002)</f>
        <v>11002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IFERROR(__xludf.DUMMYFUNCTION("IMPORTRANGE(""https://docs.google.com/spreadsheets/d/1QqKyyYR6Q21VydFLVH3TRQUabQu_ym0Zz7PgGX0-kHA/edit?usp=sharing"",""แผน!HG44"")"),4838)</f>
        <v>4838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5265.94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IFERROR(__xludf.DUMMYFUNCTION("IMPORTRANGE(""https://docs.google.com/spreadsheets/d/1QqKyyYR6Q21VydFLVH3TRQUabQu_ym0Zz7PgGX0-kHA/edit?usp=sharing"",""แผน!HJ44"")"),5265.94)</f>
        <v>5265.94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IFERROR(__xludf.DUMMYFUNCTION("IMPORTRANGE(""https://docs.google.com/spreadsheets/d/1QqKyyYR6Q21VydFLVH3TRQUabQu_ym0Zz7PgGX0-kHA/edit?usp=sharing"",""แผน!HI44"")"),1025)</f>
        <v>1025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IFERROR(__xludf.DUMMYFUNCTION("IMPORTRANGE(""https://docs.google.com/spreadsheets/d/1QqKyyYR6Q21VydFLVH3TRQUabQu_ym0Zz7PgGX0-kHA/edit?usp=sharing"",""แผน!HL44"")"),52)</f>
        <v>52</v>
      </c>
      <c r="J620" s="726">
        <f t="shared" ref="J620:J621" si="260">J622+J624+J626</f>
        <v>52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IFERROR(__xludf.DUMMYFUNCTION("IMPORTRANGE(""https://docs.google.com/spreadsheets/d/1QqKyyYR6Q21VydFLVH3TRQUabQu_ym0Zz7PgGX0-kHA/edit?usp=sharing"",""แผน!HK44"")"),18)</f>
        <v>18</v>
      </c>
      <c r="J621" s="726">
        <f t="shared" si="260"/>
        <v>18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7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38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7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2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350</v>
      </c>
      <c r="J628" s="739">
        <f t="shared" ca="1" si="262"/>
        <v>137</v>
      </c>
      <c r="K628" s="740">
        <f ca="1">IF(I628&gt;0,J628*100/I628,0)</f>
        <v>39.142857142857146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532545</v>
      </c>
      <c r="M629" s="195">
        <f t="shared" ca="1" si="263"/>
        <v>532545</v>
      </c>
      <c r="N629" s="195">
        <f t="shared" si="263"/>
        <v>283390</v>
      </c>
      <c r="O629" s="195">
        <f t="shared" ref="O629:O634" ca="1" si="264">IF(L629&gt;0,N629*100/L629,0)</f>
        <v>53.214282361115025</v>
      </c>
      <c r="P629" s="195">
        <f t="shared" ref="P629:P634" ca="1" si="265">IF(M629&gt;0,N629*100/M629,0)</f>
        <v>53.214282361115025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532545</v>
      </c>
      <c r="M631" s="93">
        <f t="shared" ca="1" si="266"/>
        <v>532545</v>
      </c>
      <c r="N631" s="93">
        <f t="shared" si="266"/>
        <v>283390</v>
      </c>
      <c r="O631" s="93">
        <f t="shared" ca="1" si="264"/>
        <v>53.214282361115025</v>
      </c>
      <c r="P631" s="93">
        <f t="shared" ca="1" si="265"/>
        <v>53.214282361115025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532545</v>
      </c>
      <c r="M632" s="497">
        <f t="shared" ca="1" si="267"/>
        <v>532545</v>
      </c>
      <c r="N632" s="497">
        <f t="shared" si="267"/>
        <v>283390</v>
      </c>
      <c r="O632" s="497">
        <f t="shared" ca="1" si="264"/>
        <v>53.214282361115025</v>
      </c>
      <c r="P632" s="497">
        <f t="shared" ca="1" si="265"/>
        <v>53.214282361115025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IFERROR(__xludf.DUMMYFUNCTION("IMPORTRANGE(""https://docs.google.com/spreadsheets/d/1QqKyyYR6Q21VydFLVH3TRQUabQu_ym0Zz7PgGX0-kHA/edit?usp=sharing"",""แผน!HN44"")"),532545)</f>
        <v>532545</v>
      </c>
      <c r="M634" s="93">
        <f ca="1">L634</f>
        <v>532545</v>
      </c>
      <c r="N634" s="93">
        <f>N635+N636+N637+N638</f>
        <v>283390</v>
      </c>
      <c r="O634" s="93">
        <f t="shared" ca="1" si="264"/>
        <v>53.214282361115025</v>
      </c>
      <c r="P634" s="93">
        <f t="shared" ca="1" si="265"/>
        <v>53.214282361115025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52000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231390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IFERROR(__xludf.DUMMYFUNCTION("IMPORTRANGE(""https://docs.google.com/spreadsheets/d/1XWAQStnk-4SwqDmLtmXYiTMKHgktTP8We1SCoS47DrQ/edit?usp=sharing"",""จัดที่ดิน!AS44"")"),372)</f>
        <v>372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IFERROR(__xludf.DUMMYFUNCTION("IMPORTRANGE(""https://docs.google.com/spreadsheets/d/1XWAQStnk-4SwqDmLtmXYiTMKHgktTP8We1SCoS47DrQ/edit?usp=sharing"",""จัดที่ดิน!AT44"")"),202.96)</f>
        <v>202.96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IFERROR(__xludf.DUMMYFUNCTION("IMPORTRANGE(""https://docs.google.com/spreadsheets/d/1QqKyyYR6Q21VydFLVH3TRQUabQu_ym0Zz7PgGX0-kHA/edit?usp=sharing"",""แผน!HS44"")"),350)</f>
        <v>350</v>
      </c>
      <c r="J647" s="270">
        <f ca="1">IFERROR(__xludf.DUMMYFUNCTION("IMPORTRANGE(""https://docs.google.com/spreadsheets/d/1XWAQStnk-4SwqDmLtmXYiTMKHgktTP8We1SCoS47DrQ/edit?usp=sharing"",""จัดที่ดิน!AU44"")"),244)</f>
        <v>244</v>
      </c>
      <c r="K647" s="163">
        <f t="shared" ca="1" si="271"/>
        <v>69.714285714285708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IFERROR(__xludf.DUMMYFUNCTION("IMPORTRANGE(""https://docs.google.com/spreadsheets/d/1XWAQStnk-4SwqDmLtmXYiTMKHgktTP8We1SCoS47DrQ/edit?usp=sharing"",""จัดที่ดิน!AV44"")"),116.11)</f>
        <v>116.11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IFERROR(__xludf.DUMMYFUNCTION("IMPORTRANGE(""https://docs.google.com/spreadsheets/d/1QqKyyYR6Q21VydFLVH3TRQUabQu_ym0Zz7PgGX0-kHA/edit?usp=sharing"",""แผน!HS44"")"),350)</f>
        <v>350</v>
      </c>
      <c r="J649" s="270">
        <f ca="1">IFERROR(__xludf.DUMMYFUNCTION("IMPORTRANGE(""https://docs.google.com/spreadsheets/d/1XWAQStnk-4SwqDmLtmXYiTMKHgktTP8We1SCoS47DrQ/edit?usp=sharing"",""จัดที่ดิน!AW44"")"),159)</f>
        <v>159</v>
      </c>
      <c r="K649" s="163">
        <f t="shared" ca="1" si="271"/>
        <v>45.428571428571431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IFERROR(__xludf.DUMMYFUNCTION("IMPORTRANGE(""https://docs.google.com/spreadsheets/d/1XWAQStnk-4SwqDmLtmXYiTMKHgktTP8We1SCoS47DrQ/edit?usp=sharing"",""จัดที่ดิน!AX44"")"),71.82)</f>
        <v>71.819999999999993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IFERROR(__xludf.DUMMYFUNCTION("IMPORTRANGE(""https://docs.google.com/spreadsheets/d/1QqKyyYR6Q21VydFLVH3TRQUabQu_ym0Zz7PgGX0-kHA/edit?usp=sharing"",""แผน!HS44"")"),350)</f>
        <v>350</v>
      </c>
      <c r="J651" s="270">
        <f ca="1">IFERROR(__xludf.DUMMYFUNCTION("IMPORTRANGE(""https://docs.google.com/spreadsheets/d/1XWAQStnk-4SwqDmLtmXYiTMKHgktTP8We1SCoS47DrQ/edit?usp=sharing"",""จัดที่ดิน!AY44"")"),137)</f>
        <v>137</v>
      </c>
      <c r="K651" s="163">
        <f t="shared" ca="1" si="271"/>
        <v>39.142857142857146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IFERROR(__xludf.DUMMYFUNCTION("IMPORTRANGE(""https://docs.google.com/spreadsheets/d/1XWAQStnk-4SwqDmLtmXYiTMKHgktTP8We1SCoS47DrQ/edit?usp=sharing"",""จัดที่ดิน!AZ44"")"),59.16)</f>
        <v>59.16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13340</v>
      </c>
      <c r="O655" s="195">
        <f t="shared" ref="O655:O660" ca="1" si="274">IF(L655&gt;0,N655*100/L655,0)</f>
        <v>85.512820512820511</v>
      </c>
      <c r="P655" s="195">
        <f t="shared" ref="P655:P660" ca="1" si="275">IF(M655&gt;0,N655*100/M655,0)</f>
        <v>85.512820512820511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13340</v>
      </c>
      <c r="O657" s="93">
        <f t="shared" ca="1" si="274"/>
        <v>85.512820512820511</v>
      </c>
      <c r="P657" s="93">
        <f t="shared" ca="1" si="275"/>
        <v>85.512820512820511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13340</v>
      </c>
      <c r="O658" s="497">
        <f t="shared" ca="1" si="274"/>
        <v>85.512820512820511</v>
      </c>
      <c r="P658" s="497">
        <f t="shared" ca="1" si="275"/>
        <v>85.512820512820511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IFERROR(__xludf.DUMMYFUNCTION("IMPORTRANGE(""https://docs.google.com/spreadsheets/d/1QqKyyYR6Q21VydFLVH3TRQUabQu_ym0Zz7PgGX0-kHA/edit?usp=sharing"",""แผน!HV44"")"),15600)</f>
        <v>15600</v>
      </c>
      <c r="M660" s="93">
        <f ca="1">L660</f>
        <v>15600</v>
      </c>
      <c r="N660" s="93">
        <f>N661+N662+N663+N664</f>
        <v>13340</v>
      </c>
      <c r="O660" s="93">
        <f t="shared" ca="1" si="274"/>
        <v>85.512820512820511</v>
      </c>
      <c r="P660" s="93">
        <f t="shared" ca="1" si="275"/>
        <v>85.512820512820511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13340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</v>
      </c>
      <c r="K672" s="497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</v>
      </c>
      <c r="K673" s="497">
        <f t="shared" ca="1" si="281"/>
        <v>18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IFERROR(__xludf.DUMMYFUNCTION("IMPORTRANGE(""https://docs.google.com/spreadsheets/d/1QqKyyYR6Q21VydFLVH3TRQUabQu_ym0Zz7PgGX0-kHA/edit?usp=sharing"",""แผน!IC44"")"),0)</f>
        <v>0</v>
      </c>
      <c r="J699" s="270">
        <f ca="1">IFERROR(__xludf.DUMMYFUNCTION("IMPORTRANGE(""https://docs.google.com/spreadsheets/d/1XWAQStnk-4SwqDmLtmXYiTMKHgktTP8We1SCoS47DrQ/edit?usp=sharing"",""จัดที่ดิน!BB44"")"),0)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IFERROR(__xludf.DUMMYFUNCTION("IMPORTRANGE(""https://docs.google.com/spreadsheets/d/1QqKyyYR6Q21VydFLVH3TRQUabQu_ym0Zz7PgGX0-kHA/edit?usp=sharing"",""แผน!ID44"")"),0)</f>
        <v>0</v>
      </c>
      <c r="J700" s="270">
        <f ca="1">IFERROR(__xludf.DUMMYFUNCTION("IMPORTRANGE(""https://docs.google.com/spreadsheets/d/1XWAQStnk-4SwqDmLtmXYiTMKHgktTP8We1SCoS47DrQ/edit?usp=sharing"",""จัดที่ดิน!BD44"")"),0)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IFERROR(__xludf.DUMMYFUNCTION("IMPORTRANGE(""https://docs.google.com/spreadsheets/d/1QqKyyYR6Q21VydFLVH3TRQUabQu_ym0Zz7PgGX0-kHA/edit?usp=sharing"",""แผน!IE44"")"),0)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IFERROR(__xludf.DUMMYFUNCTION("IMPORTRANGE(""https://docs.google.com/spreadsheets/d/1QqKyyYR6Q21VydFLVH3TRQUabQu_ym0Zz7PgGX0-kHA/edit?usp=sharing"",""แผน!IF44"")"),0)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IFERROR(__xludf.DUMMYFUNCTION("IMPORTRANGE(""https://docs.google.com/spreadsheets/d/1QqKyyYR6Q21VydFLVH3TRQUabQu_ym0Zz7PgGX0-kHA/edit?usp=sharing"",""แผน!IG44"")"),0)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IFERROR(__xludf.DUMMYFUNCTION("IMPORTRANGE(""https://docs.google.com/spreadsheets/d/1QqKyyYR6Q21VydFLVH3TRQUabQu_ym0Zz7PgGX0-kHA/edit?usp=sharing"",""แผน!IH44"")"),0)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IFERROR(__xludf.DUMMYFUNCTION("IMPORTRANGE(""https://docs.google.com/spreadsheets/d/1QqKyyYR6Q21VydFLVH3TRQUabQu_ym0Zz7PgGX0-kHA/edit?usp=sharing"",""แผน!II44"")"),0)</f>
        <v>0</v>
      </c>
      <c r="J720" s="270">
        <f ca="1">IFERROR(__xludf.DUMMYFUNCTION("IMPORTRANGE(""https://docs.google.com/spreadsheets/d/1XWAQStnk-4SwqDmLtmXYiTMKHgktTP8We1SCoS47DrQ/edit?usp=sharing"",""จัดที่ดิน!BH44"")"),0)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IFERROR(__xludf.DUMMYFUNCTION("IMPORTRANGE(""https://docs.google.com/spreadsheets/d/1QqKyyYR6Q21VydFLVH3TRQUabQu_ym0Zz7PgGX0-kHA/edit?usp=sharing"",""แผน!IJ44"")"),0)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IFERROR(__xludf.DUMMYFUNCTION("IMPORTRANGE(""https://docs.google.com/spreadsheets/d/1QqKyyYR6Q21VydFLVH3TRQUabQu_ym0Zz7PgGX0-kHA/edit?usp=sharing"",""แผน!IK44"")"),0)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IFERROR(__xludf.DUMMYFUNCTION("IMPORTRANGE(""https://docs.google.com/spreadsheets/d/1QqKyyYR6Q21VydFLVH3TRQUabQu_ym0Zz7PgGX0-kHA/edit?usp=sharing"",""แผน!IL44"")"),0)</f>
        <v>0</v>
      </c>
      <c r="J723" s="270">
        <f ca="1">IFERROR(__xludf.DUMMYFUNCTION("IMPORTRANGE(""https://docs.google.com/spreadsheets/d/1XWAQStnk-4SwqDmLtmXYiTMKHgktTP8We1SCoS47DrQ/edit?usp=sharing"",""จัดที่ดิน!BM44"")"),0)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IFERROR(__xludf.DUMMYFUNCTION("IMPORTRANGE(""https://docs.google.com/spreadsheets/d/1QqKyyYR6Q21VydFLVH3TRQUabQu_ym0Zz7PgGX0-kHA/edit?usp=sharing"",""แผน!IM44"")"),0)</f>
        <v>0</v>
      </c>
      <c r="J725" s="270">
        <f ca="1">IFERROR(__xludf.DUMMYFUNCTION("IMPORTRANGE(""https://docs.google.com/spreadsheets/d/1XWAQStnk-4SwqDmLtmXYiTMKHgktTP8We1SCoS47DrQ/edit?usp=sharing"",""จัดที่ดิน!BO44"")"),0)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IFERROR(__xludf.DUMMYFUNCTION("IMPORTRANGE(""https://docs.google.com/spreadsheets/d/1QqKyyYR6Q21VydFLVH3TRQUabQu_ym0Zz7PgGX0-kHA/edit?usp=sharing"",""แผน!IN44"")"),0)</f>
        <v>0</v>
      </c>
      <c r="J726" s="270">
        <f ca="1">IFERROR(__xludf.DUMMYFUNCTION("IMPORTRANGE(""https://docs.google.com/spreadsheets/d/1XWAQStnk-4SwqDmLtmXYiTMKHgktTP8We1SCoS47DrQ/edit?usp=sharing"",""จัดที่ดิน!BR44"")"),0)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IFERROR(__xludf.DUMMYFUNCTION("IMPORTRANGE(""https://docs.google.com/spreadsheets/d/1QqKyyYR6Q21VydFLVH3TRQUabQu_ym0Zz7PgGX0-kHA/edit?usp=sharing"",""แผน!IO44"")"),0)</f>
        <v>0</v>
      </c>
      <c r="J728" s="270">
        <f ca="1">IFERROR(__xludf.DUMMYFUNCTION("IMPORTRANGE(""https://docs.google.com/spreadsheets/d/1XWAQStnk-4SwqDmLtmXYiTMKHgktTP8We1SCoS47DrQ/edit?usp=sharing"",""จัดที่ดิน!BT44"")"),0)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IFERROR(__xludf.DUMMYFUNCTION("IMPORTRANGE(""https://docs.google.com/spreadsheets/d/1QqKyyYR6Q21VydFLVH3TRQUabQu_ym0Zz7PgGX0-kHA/edit?usp=sharing"",""แผน!IP44"")"),0)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IFERROR(__xludf.DUMMYFUNCTION("IMPORTRANGE(""https://docs.google.com/spreadsheets/d/1QqKyyYR6Q21VydFLVH3TRQUabQu_ym0Zz7PgGX0-kHA/edit?usp=sharing"",""แผน!JN44"")"),0)</f>
        <v>0</v>
      </c>
      <c r="J800" s="184">
        <f ca="1">IFERROR(__xludf.DUMMYFUNCTION("IMPORTRANGE(""https://docs.google.com/spreadsheets/d/1MaWodYyGHDf7siQLGxnXhG4mBNTNIuy296niS2xXulU/edit?usp=sharing"",""RTK!H44"")"),0)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270">
        <f ca="1">IFERROR(__xludf.DUMMYFUNCTION("IMPORTRANGE(""https://docs.google.com/spreadsheets/d/19vJNZY_5yjcGF2XGBMNZRCAIB0Kwfpjp8YEOfu-bneM/edit?usp=sharing"",""งานกองทุน!F44"")"),4583023.6)</f>
        <v>4583023.5999999996</v>
      </c>
      <c r="K821" s="497">
        <f t="shared" ref="K821:K828" ca="1" si="335">IF(I821&gt;0,J821*100/I821,0)</f>
        <v>59.942543556384742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IFERROR(__xludf.DUMMYFUNCTION("IMPORTRANGE(""https://docs.google.com/spreadsheets/d/19vJNZY_5yjcGF2XGBMNZRCAIB0Kwfpjp8YEOfu-bneM/edit?usp=sharing"",""งานกองทุน!C44"")"),595)</f>
        <v>595</v>
      </c>
      <c r="J822" s="270">
        <f ca="1">IFERROR(__xludf.DUMMYFUNCTION("IMPORTRANGE(""https://docs.google.com/spreadsheets/d/19vJNZY_5yjcGF2XGBMNZRCAIB0Kwfpjp8YEOfu-bneM/edit?usp=sharing"",""งานกองทุน!E44"")"),412)</f>
        <v>412</v>
      </c>
      <c r="K822" s="497">
        <f t="shared" ca="1" si="335"/>
        <v>69.243697478991592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270">
        <f ca="1">IFERROR(__xludf.DUMMYFUNCTION("IMPORTRANGE(""https://docs.google.com/spreadsheets/d/19vJNZY_5yjcGF2XGBMNZRCAIB0Kwfpjp8YEOfu-bneM/edit?usp=sharing"",""งานกองทุน!K44"")"),1636429.03)</f>
        <v>1636429.03</v>
      </c>
      <c r="K823" s="497">
        <f t="shared" ca="1" si="335"/>
        <v>7.5351452528197607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IFERROR(__xludf.DUMMYFUNCTION("IMPORTRANGE(""https://docs.google.com/spreadsheets/d/19vJNZY_5yjcGF2XGBMNZRCAIB0Kwfpjp8YEOfu-bneM/edit?usp=sharing"",""งานกองทุน!H44"")"),1227)</f>
        <v>1227</v>
      </c>
      <c r="J824" s="270">
        <f ca="1">IFERROR(__xludf.DUMMYFUNCTION("IMPORTRANGE(""https://docs.google.com/spreadsheets/d/19vJNZY_5yjcGF2XGBMNZRCAIB0Kwfpjp8YEOfu-bneM/edit?usp=sharing"",""งานกองทุน!J44"")"),323)</f>
        <v>323</v>
      </c>
      <c r="K824" s="497">
        <f t="shared" ca="1" si="335"/>
        <v>26.324368378158109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270">
        <f ca="1">IFERROR(__xludf.DUMMYFUNCTION("IMPORTRANGE(""https://docs.google.com/spreadsheets/d/19vJNZY_5yjcGF2XGBMNZRCAIB0Kwfpjp8YEOfu-bneM/edit?usp=sharing"",""งานกองทุน!P44"")"),218446.89)</f>
        <v>218446.89</v>
      </c>
      <c r="K825" s="497">
        <f t="shared" ca="1" si="335"/>
        <v>10.447768560892488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IFERROR(__xludf.DUMMYFUNCTION("IMPORTRANGE(""https://docs.google.com/spreadsheets/d/19vJNZY_5yjcGF2XGBMNZRCAIB0Kwfpjp8YEOfu-bneM/edit?usp=sharing"",""งานกองทุน!M44"")"),113)</f>
        <v>113</v>
      </c>
      <c r="J826" s="270">
        <f ca="1">IFERROR(__xludf.DUMMYFUNCTION("IMPORTRANGE(""https://docs.google.com/spreadsheets/d/19vJNZY_5yjcGF2XGBMNZRCAIB0Kwfpjp8YEOfu-bneM/edit?usp=sharing"",""งานกองทุน!O44"")"),51)</f>
        <v>51</v>
      </c>
      <c r="K826" s="497">
        <f t="shared" ca="1" si="335"/>
        <v>45.13274336283186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IFERROR(__xludf.DUMMYFUNCTION("IMPORTRANGE(""https://docs.google.com/spreadsheets/d/19vJNZY_5yjcGF2XGBMNZRCAIB0Kwfpjp8YEOfu-bneM/edit?usp=sharing"",""งานกองทุน!S44"")"),9780000)</f>
        <v>9780000</v>
      </c>
      <c r="J827" s="270">
        <f ca="1">IFERROR(__xludf.DUMMYFUNCTION("IMPORTRANGE(""https://docs.google.com/spreadsheets/d/19vJNZY_5yjcGF2XGBMNZRCAIB0Kwfpjp8YEOfu-bneM/edit?usp=sharing"",""งานกองทุน!U44"")"),9780000)</f>
        <v>9780000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IFERROR(__xludf.DUMMYFUNCTION("IMPORTRANGE(""https://docs.google.com/spreadsheets/d/19vJNZY_5yjcGF2XGBMNZRCAIB0Kwfpjp8YEOfu-bneM/edit?usp=sharing"",""งานกองทุน!R44"")"),391)</f>
        <v>391</v>
      </c>
      <c r="J828" s="504">
        <f ca="1">IFERROR(__xludf.DUMMYFUNCTION("IMPORTRANGE(""https://docs.google.com/spreadsheets/d/19vJNZY_5yjcGF2XGBMNZRCAIB0Kwfpjp8YEOfu-bneM/edit?usp=sharing"",""งานกองทุน!T44"")"),239)</f>
        <v>239</v>
      </c>
      <c r="K828" s="505">
        <f t="shared" ca="1" si="335"/>
        <v>61.125319693094632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1D9BD-53CD-479B-88C3-8A9FDB21FD6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8648762</v>
      </c>
      <c r="M8" s="22">
        <f t="shared" ca="1" si="0"/>
        <v>7655876</v>
      </c>
      <c r="N8" s="22">
        <f t="shared" ca="1" si="0"/>
        <v>4595204.6900000004</v>
      </c>
      <c r="O8" s="22">
        <f t="shared" ref="O8:O16" ca="1" si="1">IF(L8&gt;0,N8*100/L8,0)</f>
        <v>53.131357875265856</v>
      </c>
      <c r="P8" s="22">
        <f t="shared" ref="P8:P16" ca="1" si="2">IF(M8&gt;0,N8*100/M8,0)</f>
        <v>60.021932042786489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8648762</v>
      </c>
      <c r="M10" s="30">
        <f t="shared" ca="1" si="3"/>
        <v>7655876</v>
      </c>
      <c r="N10" s="30">
        <f t="shared" ca="1" si="3"/>
        <v>4595204.6900000004</v>
      </c>
      <c r="O10" s="30">
        <f t="shared" ca="1" si="1"/>
        <v>53.131357875265856</v>
      </c>
      <c r="P10" s="30">
        <f t="shared" ca="1" si="2"/>
        <v>60.021932042786489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8218162</v>
      </c>
      <c r="M11" s="497">
        <f t="shared" ca="1" si="4"/>
        <v>7225276</v>
      </c>
      <c r="N11" s="497">
        <f t="shared" ca="1" si="4"/>
        <v>4164604.6900000004</v>
      </c>
      <c r="O11" s="497">
        <f t="shared" ca="1" si="1"/>
        <v>50.675621750946263</v>
      </c>
      <c r="P11" s="497">
        <f t="shared" ca="1" si="2"/>
        <v>57.63938554042781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8218162</v>
      </c>
      <c r="M13" s="93">
        <f t="shared" ca="1" si="5"/>
        <v>7225276</v>
      </c>
      <c r="N13" s="93">
        <f t="shared" ca="1" si="5"/>
        <v>4164604.6900000004</v>
      </c>
      <c r="O13" s="93">
        <f t="shared" ca="1" si="1"/>
        <v>50.675621750946263</v>
      </c>
      <c r="P13" s="93">
        <f t="shared" ca="1" si="2"/>
        <v>57.63938554042781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430600</v>
      </c>
      <c r="M14" s="497">
        <f t="shared" ca="1" si="6"/>
        <v>430600</v>
      </c>
      <c r="N14" s="497">
        <f t="shared" ca="1" si="6"/>
        <v>430600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430600</v>
      </c>
      <c r="M16" s="52">
        <f t="shared" ca="1" si="7"/>
        <v>430600</v>
      </c>
      <c r="N16" s="52">
        <f t="shared" ca="1" si="7"/>
        <v>430600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5826107</v>
      </c>
      <c r="M18" s="22">
        <f t="shared" ca="1" si="8"/>
        <v>4835226</v>
      </c>
      <c r="N18" s="22">
        <f t="shared" ca="1" si="8"/>
        <v>3343374.5300000003</v>
      </c>
      <c r="O18" s="22">
        <f t="shared" ref="O18:O26" ca="1" si="9">IF(L18&gt;0,N18*100/L18,0)</f>
        <v>57.386081821017022</v>
      </c>
      <c r="P18" s="22">
        <f t="shared" ref="P18:P26" ca="1" si="10">IF(M18&gt;0,N18*100/M18,0)</f>
        <v>69.146189443885348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5826107</v>
      </c>
      <c r="M20" s="30">
        <f t="shared" ca="1" si="11"/>
        <v>4835226</v>
      </c>
      <c r="N20" s="30">
        <f t="shared" ca="1" si="11"/>
        <v>3343374.5300000003</v>
      </c>
      <c r="O20" s="30">
        <f t="shared" ca="1" si="9"/>
        <v>57.386081821017022</v>
      </c>
      <c r="P20" s="30">
        <f t="shared" ca="1" si="10"/>
        <v>69.146189443885348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5395507</v>
      </c>
      <c r="M21" s="497">
        <f t="shared" ca="1" si="12"/>
        <v>4404626</v>
      </c>
      <c r="N21" s="497">
        <f t="shared" ca="1" si="12"/>
        <v>2912774.5300000003</v>
      </c>
      <c r="O21" s="497">
        <f t="shared" ca="1" si="9"/>
        <v>53.985186748900517</v>
      </c>
      <c r="P21" s="497">
        <f t="shared" ca="1" si="10"/>
        <v>66.129894569936241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5395507</v>
      </c>
      <c r="M23" s="93">
        <f t="shared" ca="1" si="13"/>
        <v>4404626</v>
      </c>
      <c r="N23" s="93">
        <f t="shared" ca="1" si="13"/>
        <v>2912774.5300000003</v>
      </c>
      <c r="O23" s="93">
        <f t="shared" ca="1" si="9"/>
        <v>53.985186748900517</v>
      </c>
      <c r="P23" s="93">
        <f t="shared" ca="1" si="10"/>
        <v>66.129894569936241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430600</v>
      </c>
      <c r="M24" s="497">
        <f t="shared" ca="1" si="14"/>
        <v>430600</v>
      </c>
      <c r="N24" s="497">
        <f t="shared" ca="1" si="14"/>
        <v>430600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430600</v>
      </c>
      <c r="M26" s="52">
        <f t="shared" ca="1" si="15"/>
        <v>430600</v>
      </c>
      <c r="N26" s="52">
        <f t="shared" ca="1" si="15"/>
        <v>430600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2822655</v>
      </c>
      <c r="M28" s="22">
        <f t="shared" ca="1" si="16"/>
        <v>2820650</v>
      </c>
      <c r="N28" s="22">
        <f t="shared" si="16"/>
        <v>1251830.1599999999</v>
      </c>
      <c r="O28" s="22">
        <f t="shared" ref="O28:O37" ca="1" si="17">IF(L28&gt;0,N28*100/L28,0)</f>
        <v>44.349385950461532</v>
      </c>
      <c r="P28" s="22">
        <f t="shared" ref="P28:P37" ca="1" si="18">IF(M28&gt;0,N28*100/M28,0)</f>
        <v>44.380910782975548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2822655</v>
      </c>
      <c r="M30" s="30">
        <f t="shared" ca="1" si="19"/>
        <v>2820650</v>
      </c>
      <c r="N30" s="30">
        <f t="shared" si="19"/>
        <v>1251830.1599999999</v>
      </c>
      <c r="O30" s="30">
        <f t="shared" ca="1" si="17"/>
        <v>44.349385950461532</v>
      </c>
      <c r="P30" s="30">
        <f t="shared" ca="1" si="18"/>
        <v>44.380910782975548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2822655</v>
      </c>
      <c r="M31" s="497">
        <f t="shared" ca="1" si="20"/>
        <v>2820650</v>
      </c>
      <c r="N31" s="497">
        <f t="shared" si="20"/>
        <v>1251830.1599999999</v>
      </c>
      <c r="O31" s="497">
        <f t="shared" ca="1" si="17"/>
        <v>44.349385950461532</v>
      </c>
      <c r="P31" s="497">
        <f t="shared" ca="1" si="18"/>
        <v>44.380910782975548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2822655</v>
      </c>
      <c r="M33" s="93">
        <f t="shared" ca="1" si="21"/>
        <v>2820650</v>
      </c>
      <c r="N33" s="93">
        <f t="shared" si="21"/>
        <v>1251830.1599999999</v>
      </c>
      <c r="O33" s="93">
        <f t="shared" ca="1" si="17"/>
        <v>44.349385950461532</v>
      </c>
      <c r="P33" s="93">
        <f t="shared" ca="1" si="18"/>
        <v>44.380910782975548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5826107</v>
      </c>
      <c r="M37" s="870">
        <f t="shared" ca="1" si="24"/>
        <v>4835226</v>
      </c>
      <c r="N37" s="870">
        <f t="shared" ca="1" si="24"/>
        <v>3343374.5300000003</v>
      </c>
      <c r="O37" s="870">
        <f t="shared" ca="1" si="17"/>
        <v>57.386081821017022</v>
      </c>
      <c r="P37" s="870">
        <f t="shared" ca="1" si="18"/>
        <v>69.146189443885348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806992</v>
      </c>
      <c r="M41" s="85">
        <f t="shared" ca="1" si="25"/>
        <v>811651</v>
      </c>
      <c r="N41" s="85">
        <f t="shared" ca="1" si="25"/>
        <v>440274.13</v>
      </c>
      <c r="O41" s="85">
        <f t="shared" ref="O41:O49" ca="1" si="26">IF(L41&gt;0,N41*100/L41,0)</f>
        <v>54.557434274441384</v>
      </c>
      <c r="P41" s="85">
        <f t="shared" ref="P41:P49" ca="1" si="27">IF(M41&gt;0,N41*100/M41,0)</f>
        <v>54.244266316434036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806992</v>
      </c>
      <c r="M43" s="92">
        <f t="shared" ca="1" si="28"/>
        <v>811651</v>
      </c>
      <c r="N43" s="92">
        <f t="shared" ca="1" si="28"/>
        <v>440274.13</v>
      </c>
      <c r="O43" s="92">
        <f t="shared" ca="1" si="26"/>
        <v>54.557434274441384</v>
      </c>
      <c r="P43" s="92">
        <f t="shared" ca="1" si="27"/>
        <v>54.244266316434036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806992</v>
      </c>
      <c r="M44" s="497">
        <f t="shared" ca="1" si="29"/>
        <v>811651</v>
      </c>
      <c r="N44" s="497">
        <f t="shared" ca="1" si="29"/>
        <v>440274.13</v>
      </c>
      <c r="O44" s="497">
        <f t="shared" ca="1" si="26"/>
        <v>54.557434274441384</v>
      </c>
      <c r="P44" s="497">
        <f t="shared" ca="1" si="27"/>
        <v>54.244266316434036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IFERROR(__xludf.DUMMYFUNCTION("IMPORTRANGE(""https://docs.google.com/spreadsheets/d/1MeEWN-I1oV_STSDYn1IFDPWt_1FKiwhDph83XaGc0o0/edit?usp=sharing"",""งบพรบ!M45"")"),806992)</f>
        <v>806992</v>
      </c>
      <c r="M46" s="93">
        <f ca="1">IFERROR(__xludf.DUMMYFUNCTION("IMPORTRANGE(""https://docs.google.com/spreadsheets/d/1MeEWN-I1oV_STSDYn1IFDPWt_1FKiwhDph83XaGc0o0/edit?usp=sharing"",""งบพรบ!R45"")"),811651)</f>
        <v>811651</v>
      </c>
      <c r="N46" s="93">
        <f ca="1">IFERROR(__xludf.DUMMYFUNCTION("IMPORTRANGE(""https://docs.google.com/spreadsheets/d/1MeEWN-I1oV_STSDYn1IFDPWt_1FKiwhDph83XaGc0o0/edit?usp=sharing"",""งบพรบ!T45"")"),440274.13)</f>
        <v>440274.13</v>
      </c>
      <c r="O46" s="93">
        <f t="shared" ca="1" si="26"/>
        <v>54.557434274441384</v>
      </c>
      <c r="P46" s="93">
        <f t="shared" ca="1" si="27"/>
        <v>54.244266316434036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IFERROR(__xludf.DUMMYFUNCTION("IMPORTRANGE(""https://docs.google.com/spreadsheets/d/1MeEWN-I1oV_STSDYn1IFDPWt_1FKiwhDph83XaGc0o0/edit?usp=sharing"",""งบพรบ!P45"")"),0)</f>
        <v>0</v>
      </c>
      <c r="M49" s="52">
        <f ca="1">IFERROR(__xludf.DUMMYFUNCTION("IMPORTRANGE(""https://docs.google.com/spreadsheets/d/1MeEWN-I1oV_STSDYn1IFDPWt_1FKiwhDph83XaGc0o0/edit?usp=sharing"",""งบพรบ!S45"")"),0)</f>
        <v>0</v>
      </c>
      <c r="N49" s="52">
        <f ca="1">IFERROR(__xludf.DUMMYFUNCTION("IMPORTRANGE(""https://docs.google.com/spreadsheets/d/1MeEWN-I1oV_STSDYn1IFDPWt_1FKiwhDph83XaGc0o0/edit?usp=sharing"",""งบพรบ!U45"")"),0)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790400</v>
      </c>
      <c r="M53" s="116">
        <f t="shared" ca="1" si="31"/>
        <v>592800</v>
      </c>
      <c r="N53" s="116">
        <f t="shared" ca="1" si="31"/>
        <v>448330.59</v>
      </c>
      <c r="O53" s="116">
        <f t="shared" ref="O53:O61" ca="1" si="32">IF(L53&gt;0,N53*100/L53,0)</f>
        <v>56.721987601214572</v>
      </c>
      <c r="P53" s="116">
        <f t="shared" ref="P53:P61" ca="1" si="33">IF(M53&gt;0,N53*100/M53,0)</f>
        <v>75.629316801619439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790400</v>
      </c>
      <c r="M55" s="123">
        <f t="shared" ca="1" si="34"/>
        <v>592800</v>
      </c>
      <c r="N55" s="123">
        <f t="shared" ca="1" si="34"/>
        <v>448330.59</v>
      </c>
      <c r="O55" s="123">
        <f t="shared" ca="1" si="32"/>
        <v>56.721987601214572</v>
      </c>
      <c r="P55" s="123">
        <f t="shared" ca="1" si="33"/>
        <v>75.629316801619439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790400</v>
      </c>
      <c r="M56" s="497">
        <f t="shared" ca="1" si="35"/>
        <v>592800</v>
      </c>
      <c r="N56" s="497">
        <f t="shared" ca="1" si="35"/>
        <v>448330.59</v>
      </c>
      <c r="O56" s="497">
        <f t="shared" ca="1" si="32"/>
        <v>56.721987601214572</v>
      </c>
      <c r="P56" s="497">
        <f t="shared" ca="1" si="33"/>
        <v>75.629316801619439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IFERROR(__xludf.DUMMYFUNCTION("IMPORTRANGE(""https://docs.google.com/spreadsheets/d/1MeEWN-I1oV_STSDYn1IFDPWt_1FKiwhDph83XaGc0o0/edit?usp=sharing"",""งบพรบ!W45"")"),790400)</f>
        <v>790400</v>
      </c>
      <c r="M58" s="93">
        <f ca="1">IFERROR(__xludf.DUMMYFUNCTION("IMPORTRANGE(""https://docs.google.com/spreadsheets/d/1MeEWN-I1oV_STSDYn1IFDPWt_1FKiwhDph83XaGc0o0/edit?usp=sharing"",""งบพรบ!AB45"")"),592800)</f>
        <v>592800</v>
      </c>
      <c r="N58" s="93">
        <f ca="1">IFERROR(__xludf.DUMMYFUNCTION("IMPORTRANGE(""https://docs.google.com/spreadsheets/d/1MeEWN-I1oV_STSDYn1IFDPWt_1FKiwhDph83XaGc0o0/edit?usp=sharing"",""งบพรบ!AD45"")"),448330.59)</f>
        <v>448330.59</v>
      </c>
      <c r="O58" s="93">
        <f t="shared" ca="1" si="32"/>
        <v>56.721987601214572</v>
      </c>
      <c r="P58" s="93">
        <f t="shared" ca="1" si="33"/>
        <v>75.629316801619439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IFERROR(__xludf.DUMMYFUNCTION("IMPORTRANGE(""https://docs.google.com/spreadsheets/d/1MeEWN-I1oV_STSDYn1IFDPWt_1FKiwhDph83XaGc0o0/edit?usp=sharing"",""งบพรบ!Z45"")"),0)</f>
        <v>0</v>
      </c>
      <c r="M61" s="52">
        <f ca="1">IFERROR(__xludf.DUMMYFUNCTION("IMPORTRANGE(""https://docs.google.com/spreadsheets/d/1MeEWN-I1oV_STSDYn1IFDPWt_1FKiwhDph83XaGc0o0/edit?usp=sharing"",""งบพรบ!AC45"")"),0)</f>
        <v>0</v>
      </c>
      <c r="N61" s="52">
        <f ca="1">IFERROR(__xludf.DUMMYFUNCTION("IMPORTRANGE(""https://docs.google.com/spreadsheets/d/1MeEWN-I1oV_STSDYn1IFDPWt_1FKiwhDph83XaGc0o0/edit?usp=sharing"",""งบพรบ!AE45"")"),0)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769570</v>
      </c>
      <c r="N66" s="155">
        <f t="shared" ca="1" si="39"/>
        <v>558740.5</v>
      </c>
      <c r="O66" s="155">
        <f t="shared" ref="O66:O74" ca="1" si="40">IF(L66&gt;0,N66*100/L66,0)</f>
        <v>55.211511857707507</v>
      </c>
      <c r="P66" s="155">
        <f t="shared" ref="P66:P74" ca="1" si="41">IF(M66&gt;0,N66*100/M66,0)</f>
        <v>72.604246527281475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769570</v>
      </c>
      <c r="N68" s="93">
        <f t="shared" ca="1" si="42"/>
        <v>558740.5</v>
      </c>
      <c r="O68" s="93">
        <f t="shared" ca="1" si="40"/>
        <v>55.211511857707507</v>
      </c>
      <c r="P68" s="93">
        <f t="shared" ca="1" si="41"/>
        <v>72.604246527281475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769570</v>
      </c>
      <c r="N69" s="497">
        <f t="shared" ca="1" si="43"/>
        <v>558740.5</v>
      </c>
      <c r="O69" s="497">
        <f t="shared" ca="1" si="40"/>
        <v>55.211511857707507</v>
      </c>
      <c r="P69" s="497">
        <f t="shared" ca="1" si="41"/>
        <v>72.604246527281475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IFERROR(__xludf.DUMMYFUNCTION("IMPORTRANGE(""https://docs.google.com/spreadsheets/d/1MeEWN-I1oV_STSDYn1IFDPWt_1FKiwhDph83XaGc0o0/edit?usp=sharing"",""งบพรบ!AG45"")"),1012000)</f>
        <v>1012000</v>
      </c>
      <c r="M71" s="93">
        <f ca="1">IFERROR(__xludf.DUMMYFUNCTION("IMPORTRANGE(""https://docs.google.com/spreadsheets/d/1MeEWN-I1oV_STSDYn1IFDPWt_1FKiwhDph83XaGc0o0/edit?usp=sharing"",""งบพรบ!AL45"")"),769570)</f>
        <v>769570</v>
      </c>
      <c r="N71" s="93">
        <f ca="1">IFERROR(__xludf.DUMMYFUNCTION("IMPORTRANGE(""https://docs.google.com/spreadsheets/d/1MeEWN-I1oV_STSDYn1IFDPWt_1FKiwhDph83XaGc0o0/edit?usp=sharing"",""งบพรบ!AN45"")"),558740.5)</f>
        <v>558740.5</v>
      </c>
      <c r="O71" s="93">
        <f t="shared" ca="1" si="40"/>
        <v>55.211511857707507</v>
      </c>
      <c r="P71" s="93">
        <f t="shared" ca="1" si="41"/>
        <v>72.604246527281475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IFERROR(__xludf.DUMMYFUNCTION("IMPORTRANGE(""https://docs.google.com/spreadsheets/d/1MeEWN-I1oV_STSDYn1IFDPWt_1FKiwhDph83XaGc0o0/edit?usp=sharing"",""งบพรบ!AJ45"")"),0)</f>
        <v>0</v>
      </c>
      <c r="M74" s="93">
        <f ca="1">IFERROR(__xludf.DUMMYFUNCTION("IMPORTRANGE(""https://docs.google.com/spreadsheets/d/1MeEWN-I1oV_STSDYn1IFDPWt_1FKiwhDph83XaGc0o0/edit?usp=sharing"",""งบพรบ!AM45"")"),0)</f>
        <v>0</v>
      </c>
      <c r="N74" s="93">
        <f ca="1">IFERROR(__xludf.DUMMYFUNCTION("IMPORTRANGE(""https://docs.google.com/spreadsheets/d/1MeEWN-I1oV_STSDYn1IFDPWt_1FKiwhDph83XaGc0o0/edit?usp=sharing"",""งบพรบ!AO45"")"),0)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101480</v>
      </c>
      <c r="N88" s="155">
        <f t="shared" ca="1" si="49"/>
        <v>92350</v>
      </c>
      <c r="O88" s="155">
        <f t="shared" ref="O88:O96" ca="1" si="50">IF(L88&gt;0,N88*100/L88,0)</f>
        <v>83.063500629609635</v>
      </c>
      <c r="P88" s="155">
        <f t="shared" ref="P88:P96" ca="1" si="51">IF(M88&gt;0,N88*100/M88,0)</f>
        <v>91.003153330705558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101480</v>
      </c>
      <c r="N90" s="93">
        <f t="shared" ca="1" si="52"/>
        <v>92350</v>
      </c>
      <c r="O90" s="93">
        <f t="shared" ca="1" si="50"/>
        <v>83.063500629609635</v>
      </c>
      <c r="P90" s="93">
        <f t="shared" ca="1" si="51"/>
        <v>91.003153330705558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101480</v>
      </c>
      <c r="N91" s="497">
        <f t="shared" ca="1" si="53"/>
        <v>92350</v>
      </c>
      <c r="O91" s="497">
        <f t="shared" ca="1" si="50"/>
        <v>83.063500629609635</v>
      </c>
      <c r="P91" s="497">
        <f t="shared" ca="1" si="51"/>
        <v>91.003153330705558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IFERROR(__xludf.DUMMYFUNCTION("IMPORTRANGE(""https://docs.google.com/spreadsheets/d/1MeEWN-I1oV_STSDYn1IFDPWt_1FKiwhDph83XaGc0o0/edit?usp=sharing"",""งบพรบ!AQ45"")"),111180)</f>
        <v>111180</v>
      </c>
      <c r="M93" s="93">
        <f ca="1">IFERROR(__xludf.DUMMYFUNCTION("IMPORTRANGE(""https://docs.google.com/spreadsheets/d/1MeEWN-I1oV_STSDYn1IFDPWt_1FKiwhDph83XaGc0o0/edit?usp=sharing"",""งบพรบ!AV45"")"),101480)</f>
        <v>101480</v>
      </c>
      <c r="N93" s="93">
        <f ca="1">IFERROR(__xludf.DUMMYFUNCTION("IMPORTRANGE(""https://docs.google.com/spreadsheets/d/1MeEWN-I1oV_STSDYn1IFDPWt_1FKiwhDph83XaGc0o0/edit?usp=sharing"",""งบพรบ!AX45"")"),92350)</f>
        <v>92350</v>
      </c>
      <c r="O93" s="93">
        <f t="shared" ca="1" si="50"/>
        <v>83.063500629609635</v>
      </c>
      <c r="P93" s="93">
        <f t="shared" ca="1" si="51"/>
        <v>91.003153330705558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IFERROR(__xludf.DUMMYFUNCTION("IMPORTRANGE(""https://docs.google.com/spreadsheets/d/1MeEWN-I1oV_STSDYn1IFDPWt_1FKiwhDph83XaGc0o0/edit?usp=sharing"",""งบพรบ!AT45"")"),0)</f>
        <v>0</v>
      </c>
      <c r="M96" s="93">
        <f ca="1">IFERROR(__xludf.DUMMYFUNCTION("IMPORTRANGE(""https://docs.google.com/spreadsheets/d/1MeEWN-I1oV_STSDYn1IFDPWt_1FKiwhDph83XaGc0o0/edit?usp=sharing"",""งบพรบ!AW45"")"),0)</f>
        <v>0</v>
      </c>
      <c r="N96" s="93">
        <f ca="1">IFERROR(__xludf.DUMMYFUNCTION("IMPORTRANGE(""https://docs.google.com/spreadsheets/d/1MeEWN-I1oV_STSDYn1IFDPWt_1FKiwhDph83XaGc0o0/edit?usp=sharing"",""งบพรบ!AY45"")"),0)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IFERROR(__xludf.DUMMYFUNCTION("IMPORTRANGE(""https://docs.google.com/spreadsheets/d/1QqKyyYR6Q21VydFLVH3TRQUabQu_ym0Zz7PgGX0-kHA/edit?usp=sharing"",""แผน!R45"")"),20)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IFERROR(__xludf.DUMMYFUNCTION("IMPORTRANGE(""https://docs.google.com/spreadsheets/d/1MeEWN-I1oV_STSDYn1IFDPWt_1FKiwhDph83XaGc0o0/edit?usp=sharing"",""งบพรบ!BA45"")"),0)</f>
        <v>0</v>
      </c>
      <c r="M124" s="93">
        <f ca="1">IFERROR(__xludf.DUMMYFUNCTION("IMPORTRANGE(""https://docs.google.com/spreadsheets/d/1MeEWN-I1oV_STSDYn1IFDPWt_1FKiwhDph83XaGc0o0/edit?usp=sharing"",""งบพรบ!BF45"")"),0)</f>
        <v>0</v>
      </c>
      <c r="N124" s="93">
        <f ca="1">IFERROR(__xludf.DUMMYFUNCTION("IMPORTRANGE(""https://docs.google.com/spreadsheets/d/1MeEWN-I1oV_STSDYn1IFDPWt_1FKiwhDph83XaGc0o0/edit?usp=sharing"",""งบพรบ!BH45"")"),0)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IFERROR(__xludf.DUMMYFUNCTION("IMPORTRANGE(""https://docs.google.com/spreadsheets/d/1MeEWN-I1oV_STSDYn1IFDPWt_1FKiwhDph83XaGc0o0/edit?usp=sharing"",""งบพรบ!BD45"")"),0)</f>
        <v>0</v>
      </c>
      <c r="M127" s="93">
        <f ca="1">IFERROR(__xludf.DUMMYFUNCTION("IMPORTRANGE(""https://docs.google.com/spreadsheets/d/1MeEWN-I1oV_STSDYn1IFDPWt_1FKiwhDph83XaGc0o0/edit?usp=sharing"",""งบพรบ!BG45"")"),0)</f>
        <v>0</v>
      </c>
      <c r="N127" s="93">
        <f ca="1">IFERROR(__xludf.DUMMYFUNCTION("IMPORTRANGE(""https://docs.google.com/spreadsheets/d/1MeEWN-I1oV_STSDYn1IFDPWt_1FKiwhDph83XaGc0o0/edit?usp=sharing"",""งบพรบ!BI45"")"),0)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368850</v>
      </c>
      <c r="O132" s="155">
        <f t="shared" ref="O132:O140" ca="1" si="70">IF(L132&gt;0,N132*100/L132,0)</f>
        <v>81.072170386733049</v>
      </c>
      <c r="P132" s="155">
        <f t="shared" ref="P132:P140" ca="1" si="71">IF(M132&gt;0,N132*100/M132,0)</f>
        <v>83.715388107126643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368850</v>
      </c>
      <c r="O134" s="93">
        <f t="shared" ca="1" si="70"/>
        <v>81.072170386733049</v>
      </c>
      <c r="P134" s="93">
        <f t="shared" ca="1" si="71"/>
        <v>83.715388107126643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59850</v>
      </c>
      <c r="O135" s="497">
        <f t="shared" ca="1" si="70"/>
        <v>41.002980166478267</v>
      </c>
      <c r="P135" s="497">
        <f t="shared" ca="1" si="71"/>
        <v>45.478723404255319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IFERROR(__xludf.DUMMYFUNCTION("IMPORTRANGE(""https://docs.google.com/spreadsheets/d/1MeEWN-I1oV_STSDYn1IFDPWt_1FKiwhDph83XaGc0o0/edit?usp=sharing"",""งบพรบ!BK45"")"),145965)</f>
        <v>145965</v>
      </c>
      <c r="M137" s="93">
        <f ca="1">IFERROR(__xludf.DUMMYFUNCTION("IMPORTRANGE(""https://docs.google.com/spreadsheets/d/1MeEWN-I1oV_STSDYn1IFDPWt_1FKiwhDph83XaGc0o0/edit?usp=sharing"",""งบพรบ!BP45"")"),131600)</f>
        <v>131600</v>
      </c>
      <c r="N137" s="93">
        <f ca="1">IFERROR(__xludf.DUMMYFUNCTION("IMPORTRANGE(""https://docs.google.com/spreadsheets/d/1MeEWN-I1oV_STSDYn1IFDPWt_1FKiwhDph83XaGc0o0/edit?usp=sharing"",""งบพรบ!BR45"")"),59850)</f>
        <v>59850</v>
      </c>
      <c r="O137" s="93">
        <f t="shared" ca="1" si="70"/>
        <v>41.002980166478267</v>
      </c>
      <c r="P137" s="93">
        <f t="shared" ca="1" si="71"/>
        <v>45.478723404255319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IFERROR(__xludf.DUMMYFUNCTION("IMPORTRANGE(""https://docs.google.com/spreadsheets/d/1MeEWN-I1oV_STSDYn1IFDPWt_1FKiwhDph83XaGc0o0/edit?usp=sharing"",""งบพรบ!BN45"")"),309000)</f>
        <v>309000</v>
      </c>
      <c r="M140" s="93">
        <f ca="1">IFERROR(__xludf.DUMMYFUNCTION("IMPORTRANGE(""https://docs.google.com/spreadsheets/d/1MeEWN-I1oV_STSDYn1IFDPWt_1FKiwhDph83XaGc0o0/edit?usp=sharing"",""งบพรบ!BQ45"")"),309000)</f>
        <v>309000</v>
      </c>
      <c r="N140" s="93">
        <f ca="1">IFERROR(__xludf.DUMMYFUNCTION("IMPORTRANGE(""https://docs.google.com/spreadsheets/d/1MeEWN-I1oV_STSDYn1IFDPWt_1FKiwhDph83XaGc0o0/edit?usp=sharing"",""งบพรบ!BS45"")"),309000)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IFERROR(__xludf.DUMMYFUNCTION("IMPORTRANGE(""https://docs.google.com/spreadsheets/d/1QqKyyYR6Q21VydFLVH3TRQUabQu_ym0Zz7PgGX0-kHA/edit?usp=sharing"",""แผน!U45"")"),15)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IFERROR(__xludf.DUMMYFUNCTION("IMPORTRANGE(""https://docs.google.com/spreadsheets/d/1QqKyyYR6Q21VydFLVH3TRQUabQu_ym0Zz7PgGX0-kHA/edit?usp=sharing"",""แผน!V45"")"),30)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IFERROR(__xludf.DUMMYFUNCTION("IMPORTRANGE(""https://docs.google.com/spreadsheets/d/1QqKyyYR6Q21VydFLVH3TRQUabQu_ym0Zz7PgGX0-kHA/edit?usp=sharing"",""แผน!W45"")"),3)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31400</v>
      </c>
      <c r="N149" s="155">
        <f t="shared" ca="1" si="77"/>
        <v>22800</v>
      </c>
      <c r="O149" s="155">
        <f t="shared" ref="O149:O157" ca="1" si="78">IF(L149&gt;0,N149*100/L149,0)</f>
        <v>228</v>
      </c>
      <c r="P149" s="155">
        <f t="shared" ref="P149:P157" ca="1" si="79">IF(M149&gt;0,N149*100/M149,0)</f>
        <v>72.611464968152873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31400</v>
      </c>
      <c r="N151" s="93">
        <f t="shared" ca="1" si="80"/>
        <v>22800</v>
      </c>
      <c r="O151" s="93">
        <f t="shared" ca="1" si="78"/>
        <v>228</v>
      </c>
      <c r="P151" s="93">
        <f t="shared" ca="1" si="79"/>
        <v>72.611464968152873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31400</v>
      </c>
      <c r="N152" s="497">
        <f t="shared" ca="1" si="81"/>
        <v>22800</v>
      </c>
      <c r="O152" s="497">
        <f t="shared" ca="1" si="78"/>
        <v>228</v>
      </c>
      <c r="P152" s="497">
        <f t="shared" ca="1" si="79"/>
        <v>72.611464968152873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IFERROR(__xludf.DUMMYFUNCTION("IMPORTRANGE(""https://docs.google.com/spreadsheets/d/1MeEWN-I1oV_STSDYn1IFDPWt_1FKiwhDph83XaGc0o0/edit?usp=sharing"",""งบพรบ!BU45"")"),10000)</f>
        <v>10000</v>
      </c>
      <c r="M154" s="93">
        <f ca="1">IFERROR(__xludf.DUMMYFUNCTION("IMPORTRANGE(""https://docs.google.com/spreadsheets/d/1MeEWN-I1oV_STSDYn1IFDPWt_1FKiwhDph83XaGc0o0/edit?usp=sharing"",""งบพรบ!BZ45"")"),31400)</f>
        <v>31400</v>
      </c>
      <c r="N154" s="93">
        <f ca="1">IFERROR(__xludf.DUMMYFUNCTION("IMPORTRANGE(""https://docs.google.com/spreadsheets/d/1MeEWN-I1oV_STSDYn1IFDPWt_1FKiwhDph83XaGc0o0/edit?usp=sharing"",""งบพรบ!CB45"")"),22800)</f>
        <v>22800</v>
      </c>
      <c r="O154" s="93">
        <f t="shared" ca="1" si="78"/>
        <v>228</v>
      </c>
      <c r="P154" s="93">
        <f t="shared" ca="1" si="79"/>
        <v>72.611464968152873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IFERROR(__xludf.DUMMYFUNCTION("IMPORTRANGE(""https://docs.google.com/spreadsheets/d/1MeEWN-I1oV_STSDYn1IFDPWt_1FKiwhDph83XaGc0o0/edit?usp=sharing"",""งบพรบ!BX45"")"),0)</f>
        <v>0</v>
      </c>
      <c r="M157" s="93">
        <f ca="1">IFERROR(__xludf.DUMMYFUNCTION("IMPORTRANGE(""https://docs.google.com/spreadsheets/d/1MeEWN-I1oV_STSDYn1IFDPWt_1FKiwhDph83XaGc0o0/edit?usp=sharing"",""งบพรบ!CA45"")"),0)</f>
        <v>0</v>
      </c>
      <c r="N157" s="93">
        <f ca="1">IFERROR(__xludf.DUMMYFUNCTION("IMPORTRANGE(""https://docs.google.com/spreadsheets/d/1MeEWN-I1oV_STSDYn1IFDPWt_1FKiwhDph83XaGc0o0/edit?usp=sharing"",""งบพรบ!CC45"")"),0)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IFERROR(__xludf.DUMMYFUNCTION("IMPORTRANGE(""https://docs.google.com/spreadsheets/d/1QqKyyYR6Q21VydFLVH3TRQUabQu_ym0Zz7PgGX0-kHA/edit?usp=sharing"",""แผน!X45"")"),20)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IFERROR(__xludf.DUMMYFUNCTION("IMPORTRANGE(""https://docs.google.com/spreadsheets/d/1MeEWN-I1oV_STSDYn1IFDPWt_1FKiwhDph83XaGc0o0/edit?usp=sharing"",""งบพรบ!CE45"")"),23060)</f>
        <v>23060</v>
      </c>
      <c r="M170" s="93">
        <f ca="1">IFERROR(__xludf.DUMMYFUNCTION("IMPORTRANGE(""https://docs.google.com/spreadsheets/d/1MeEWN-I1oV_STSDYn1IFDPWt_1FKiwhDph83XaGc0o0/edit?usp=sharing"",""งบพรบ!CJ45"")"),23060)</f>
        <v>23060</v>
      </c>
      <c r="N170" s="93">
        <f ca="1">IFERROR(__xludf.DUMMYFUNCTION("IMPORTRANGE(""https://docs.google.com/spreadsheets/d/1MeEWN-I1oV_STSDYn1IFDPWt_1FKiwhDph83XaGc0o0/edit?usp=sharing"",""งบพรบ!CL45"")"),23060)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IFERROR(__xludf.DUMMYFUNCTION("IMPORTRANGE(""https://docs.google.com/spreadsheets/d/1MeEWN-I1oV_STSDYn1IFDPWt_1FKiwhDph83XaGc0o0/edit?usp=sharing"",""งบพรบ!CH45"")"),0)</f>
        <v>0</v>
      </c>
      <c r="M173" s="93">
        <f ca="1">IFERROR(__xludf.DUMMYFUNCTION("IMPORTRANGE(""https://docs.google.com/spreadsheets/d/1MeEWN-I1oV_STSDYn1IFDPWt_1FKiwhDph83XaGc0o0/edit?usp=sharing"",""งบพรบ!CK45"")"),0)</f>
        <v>0</v>
      </c>
      <c r="N173" s="93">
        <f ca="1">IFERROR(__xludf.DUMMYFUNCTION("IMPORTRANGE(""https://docs.google.com/spreadsheets/d/1MeEWN-I1oV_STSDYn1IFDPWt_1FKiwhDph83XaGc0o0/edit?usp=sharing"",""งบพรบ!CM45"")"),0)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571200</v>
      </c>
      <c r="M181" s="155">
        <f t="shared" ca="1" si="92"/>
        <v>469725</v>
      </c>
      <c r="N181" s="155">
        <f t="shared" ca="1" si="92"/>
        <v>271618.51</v>
      </c>
      <c r="O181" s="155">
        <f t="shared" ref="O181:O189" ca="1" si="93">IF(L181&gt;0,N181*100/L181,0)</f>
        <v>47.552260154061628</v>
      </c>
      <c r="P181" s="155">
        <f t="shared" ref="P181:P189" ca="1" si="94">IF(M181&gt;0,N181*100/M181,0)</f>
        <v>57.825006120602481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571200</v>
      </c>
      <c r="M183" s="93">
        <f t="shared" ca="1" si="95"/>
        <v>469725</v>
      </c>
      <c r="N183" s="93">
        <f t="shared" ca="1" si="95"/>
        <v>271618.51</v>
      </c>
      <c r="O183" s="93">
        <f t="shared" ca="1" si="93"/>
        <v>47.552260154061628</v>
      </c>
      <c r="P183" s="93">
        <f t="shared" ca="1" si="94"/>
        <v>57.825006120602481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571200</v>
      </c>
      <c r="M184" s="497">
        <f t="shared" ca="1" si="96"/>
        <v>469725</v>
      </c>
      <c r="N184" s="497">
        <f t="shared" ca="1" si="96"/>
        <v>271618.51</v>
      </c>
      <c r="O184" s="497">
        <f t="shared" ca="1" si="93"/>
        <v>47.552260154061628</v>
      </c>
      <c r="P184" s="497">
        <f t="shared" ca="1" si="94"/>
        <v>57.825006120602481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IFERROR(__xludf.DUMMYFUNCTION("IMPORTRANGE(""https://docs.google.com/spreadsheets/d/1MeEWN-I1oV_STSDYn1IFDPWt_1FKiwhDph83XaGc0o0/edit?usp=sharing"",""งบพรบ!CO45"")"),571200)</f>
        <v>571200</v>
      </c>
      <c r="M186" s="93">
        <f ca="1">IFERROR(__xludf.DUMMYFUNCTION("IMPORTRANGE(""https://docs.google.com/spreadsheets/d/1MeEWN-I1oV_STSDYn1IFDPWt_1FKiwhDph83XaGc0o0/edit?usp=sharing"",""งบพรบ!CT45"")"),469725)</f>
        <v>469725</v>
      </c>
      <c r="N186" s="93">
        <f ca="1">IFERROR(__xludf.DUMMYFUNCTION("IMPORTRANGE(""https://docs.google.com/spreadsheets/d/1MeEWN-I1oV_STSDYn1IFDPWt_1FKiwhDph83XaGc0o0/edit?usp=sharing"",""งบพรบ!CV45"")"),271618.51)</f>
        <v>271618.51</v>
      </c>
      <c r="O186" s="93">
        <f t="shared" ca="1" si="93"/>
        <v>47.552260154061628</v>
      </c>
      <c r="P186" s="93">
        <f t="shared" ca="1" si="94"/>
        <v>57.825006120602481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IFERROR(__xludf.DUMMYFUNCTION("IMPORTRANGE(""https://docs.google.com/spreadsheets/d/1MeEWN-I1oV_STSDYn1IFDPWt_1FKiwhDph83XaGc0o0/edit?usp=sharing"",""งบพรบ!CR45"")"),0)</f>
        <v>0</v>
      </c>
      <c r="M189" s="93">
        <f ca="1">IFERROR(__xludf.DUMMYFUNCTION("IMPORTRANGE(""https://docs.google.com/spreadsheets/d/1MeEWN-I1oV_STSDYn1IFDPWt_1FKiwhDph83XaGc0o0/edit?usp=sharing"",""งบพรบ!CU45"")"),0)</f>
        <v>0</v>
      </c>
      <c r="N189" s="93">
        <f ca="1">IFERROR(__xludf.DUMMYFUNCTION("IMPORTRANGE(""https://docs.google.com/spreadsheets/d/1MeEWN-I1oV_STSDYn1IFDPWt_1FKiwhDph83XaGc0o0/edit?usp=sharing"",""งบพรบ!CW45"")"),0)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IFERROR(__xludf.DUMMYFUNCTION("IMPORTRANGE(""https://docs.google.com/spreadsheets/d/1QqKyyYR6Q21VydFLVH3TRQUabQu_ym0Zz7PgGX0-kHA/edit?usp=sharing"",""แผน!Z45"")"),6000)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40550</v>
      </c>
      <c r="O198" s="155">
        <f ca="1">IF(L198&gt;0,N198*100/L198,0)</f>
        <v>92.159090909090907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IFERROR(__xludf.DUMMYFUNCTION("IMPORTRANGE(""https://docs.google.com/spreadsheets/d/1QqKyyYR6Q21VydFLVH3TRQUabQu_ym0Zz7PgGX0-kHA/edit?usp=sharing"",""แผน!AE45"")"),3000)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IFERROR(__xludf.DUMMYFUNCTION("IMPORTRANGE(""https://docs.google.com/spreadsheets/d/1QqKyyYR6Q21VydFLVH3TRQUabQu_ym0Zz7PgGX0-kHA/edit?usp=sharing"",""แผน!AG45"")"),12000)</f>
        <v>12000</v>
      </c>
      <c r="M201" s="497"/>
      <c r="N201" s="838">
        <v>11550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IFERROR(__xludf.DUMMYFUNCTION("IMPORTRANGE(""https://docs.google.com/spreadsheets/d/1QqKyyYR6Q21VydFLVH3TRQUabQu_ym0Zz7PgGX0-kHA/edit?usp=sharing"",""แผน!AH45"")"),5000)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IFERROR(__xludf.DUMMYFUNCTION("IMPORTRANGE(""https://docs.google.com/spreadsheets/d/1QqKyyYR6Q21VydFLVH3TRQUabQu_ym0Zz7PgGX0-kHA/edit?usp=sharing"",""แผน!AK45"")"),0)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IFERROR(__xludf.DUMMYFUNCTION("IMPORTRANGE(""https://docs.google.com/spreadsheets/d/1QqKyyYR6Q21VydFLVH3TRQUabQu_ym0Zz7PgGX0-kHA/edit?usp=sharing"",""แผน!AL45"")"),0)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IFERROR(__xludf.DUMMYFUNCTION("IMPORTRANGE(""https://docs.google.com/spreadsheets/d/1QqKyyYR6Q21VydFLVH3TRQUabQu_ym0Zz7PgGX0-kHA/edit?usp=sharing"",""แผน!AM45"")"),0)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IFERROR(__xludf.DUMMYFUNCTION("IMPORTRANGE(""https://docs.google.com/spreadsheets/d/1QqKyyYR6Q21VydFLVH3TRQUabQu_ym0Zz7PgGX0-kHA/edit?usp=sharing"",""แผน!AQ45"")"),4100)</f>
        <v>4100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IFERROR(__xludf.DUMMYFUNCTION("IMPORTRANGE(""https://docs.google.com/spreadsheets/d/1QqKyyYR6Q21VydFLVH3TRQUabQu_ym0Zz7PgGX0-kHA/edit?usp=sharing"",""แผน!AT45"")"),12800)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338600</v>
      </c>
      <c r="M227" s="356"/>
      <c r="N227" s="356">
        <f t="shared" ref="N227:N231" si="107">N238+N249</f>
        <v>124300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83280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145600</v>
      </c>
      <c r="M229" s="93"/>
      <c r="N229" s="93">
        <f t="shared" si="107"/>
        <v>41020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40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338600</v>
      </c>
      <c r="M238" s="155"/>
      <c r="N238" s="155">
        <f>N239+N240+N241+N242</f>
        <v>124300</v>
      </c>
      <c r="O238" s="155">
        <f ca="1">IF(L238&gt;0,N238*100/L238,0)</f>
        <v>36.709982279976373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IFERROR(__xludf.DUMMYFUNCTION("IMPORTRANGE(""https://docs.google.com/spreadsheets/d/1QqKyyYR6Q21VydFLVH3TRQUabQu_ym0Zz7PgGX0-kHA/edit?usp=sharing"",""แผน!AV45"")"),163000)</f>
        <v>163000</v>
      </c>
      <c r="M239" s="322"/>
      <c r="N239" s="880">
        <v>83280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IFERROR(__xludf.DUMMYFUNCTION("IMPORTRANGE(""https://docs.google.com/spreadsheets/d/1QqKyyYR6Q21VydFLVH3TRQUabQu_ym0Zz7PgGX0-kHA/edit?usp=sharing"",""แผน!AW45"")"),145600)</f>
        <v>145600</v>
      </c>
      <c r="M240" s="322"/>
      <c r="N240" s="880">
        <v>41020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IFERROR(__xludf.DUMMYFUNCTION("IMPORTRANGE(""https://docs.google.com/spreadsheets/d/1QqKyyYR6Q21VydFLVH3TRQUabQu_ym0Zz7PgGX0-kHA/edit?usp=sharing"",""แผน!AX45"")"),20000)</f>
        <v>20000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IFERROR(__xludf.DUMMYFUNCTION("IMPORTRANGE(""https://docs.google.com/spreadsheets/d/1QqKyyYR6Q21VydFLVH3TRQUabQu_ym0Zz7PgGX0-kHA/edit?usp=sharing"",""แผน!AY45"")"),10000)</f>
        <v>10000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IFERROR(__xludf.DUMMYFUNCTION("IMPORTRANGE(""https://docs.google.com/spreadsheets/d/1QqKyyYR6Q21VydFLVH3TRQUabQu_ym0Zz7PgGX0-kHA/edit?usp=sharing"",""แผน!BE45"")"),40)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40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26192</v>
      </c>
      <c r="O261" s="155">
        <f t="shared" ref="O261:O269" ca="1" si="117">IF(L261&gt;0,N261*100/L261,0)</f>
        <v>85.31596091205212</v>
      </c>
      <c r="P261" s="155">
        <f t="shared" ref="P261:P269" ca="1" si="118">IF(M261&gt;0,N261*100/M261,0)</f>
        <v>94.555956678700355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26192</v>
      </c>
      <c r="O263" s="93">
        <f t="shared" ca="1" si="117"/>
        <v>85.31596091205212</v>
      </c>
      <c r="P263" s="93">
        <f t="shared" ca="1" si="118"/>
        <v>94.555956678700355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26192</v>
      </c>
      <c r="O264" s="497">
        <f t="shared" ca="1" si="117"/>
        <v>85.31596091205212</v>
      </c>
      <c r="P264" s="497">
        <f t="shared" ca="1" si="118"/>
        <v>94.555956678700355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IFERROR(__xludf.DUMMYFUNCTION("IMPORTRANGE(""https://docs.google.com/spreadsheets/d/1MeEWN-I1oV_STSDYn1IFDPWt_1FKiwhDph83XaGc0o0/edit?usp=sharing"",""งบพรบ!CY45"")"),30700)</f>
        <v>30700</v>
      </c>
      <c r="M266" s="93">
        <f ca="1">IFERROR(__xludf.DUMMYFUNCTION("IMPORTRANGE(""https://docs.google.com/spreadsheets/d/1MeEWN-I1oV_STSDYn1IFDPWt_1FKiwhDph83XaGc0o0/edit?usp=sharing"",""งบพรบ!DD45"")"),27700)</f>
        <v>27700</v>
      </c>
      <c r="N266" s="93">
        <f ca="1">IFERROR(__xludf.DUMMYFUNCTION("IMPORTRANGE(""https://docs.google.com/spreadsheets/d/1MeEWN-I1oV_STSDYn1IFDPWt_1FKiwhDph83XaGc0o0/edit?usp=sharing"",""งบพรบ!DF45"")"),26192)</f>
        <v>26192</v>
      </c>
      <c r="O266" s="93">
        <f t="shared" ca="1" si="117"/>
        <v>85.31596091205212</v>
      </c>
      <c r="P266" s="93">
        <f t="shared" ca="1" si="118"/>
        <v>94.555956678700355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IFERROR(__xludf.DUMMYFUNCTION("IMPORTRANGE(""https://docs.google.com/spreadsheets/d/1MeEWN-I1oV_STSDYn1IFDPWt_1FKiwhDph83XaGc0o0/edit?usp=sharing"",""งบพรบ!DB45"")"),0)</f>
        <v>0</v>
      </c>
      <c r="M269" s="93">
        <f ca="1">IFERROR(__xludf.DUMMYFUNCTION("IMPORTRANGE(""https://docs.google.com/spreadsheets/d/1MeEWN-I1oV_STSDYn1IFDPWt_1FKiwhDph83XaGc0o0/edit?usp=sharing"",""งบพรบ!DE45"")"),0)</f>
        <v>0</v>
      </c>
      <c r="N269" s="93">
        <f ca="1">IFERROR(__xludf.DUMMYFUNCTION("IMPORTRANGE(""https://docs.google.com/spreadsheets/d/1MeEWN-I1oV_STSDYn1IFDPWt_1FKiwhDph83XaGc0o0/edit?usp=sharing"",""งบพรบ!DG45"")"),0)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107095</v>
      </c>
      <c r="O277" s="155">
        <f t="shared" ref="O277:O285" ca="1" si="126">IF(L277&gt;0,N277*100/L277,0)</f>
        <v>95.868767344015751</v>
      </c>
      <c r="P277" s="155">
        <f t="shared" ref="P277:P285" ca="1" si="127">IF(M277&gt;0,N277*100/M277,0)</f>
        <v>95.868767344015751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107095</v>
      </c>
      <c r="O279" s="93">
        <f t="shared" ca="1" si="126"/>
        <v>95.868767344015751</v>
      </c>
      <c r="P279" s="93">
        <f t="shared" ca="1" si="127"/>
        <v>95.868767344015751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107095</v>
      </c>
      <c r="O280" s="497">
        <f t="shared" ca="1" si="126"/>
        <v>95.868767344015751</v>
      </c>
      <c r="P280" s="497">
        <f t="shared" ca="1" si="127"/>
        <v>95.868767344015751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IFERROR(__xludf.DUMMYFUNCTION("IMPORTRANGE(""https://docs.google.com/spreadsheets/d/1MeEWN-I1oV_STSDYn1IFDPWt_1FKiwhDph83XaGc0o0/edit?usp=sharing"",""งบพรบ!DI45"")"),111710)</f>
        <v>111710</v>
      </c>
      <c r="M282" s="93">
        <f ca="1">IFERROR(__xludf.DUMMYFUNCTION("IMPORTRANGE(""https://docs.google.com/spreadsheets/d/1MeEWN-I1oV_STSDYn1IFDPWt_1FKiwhDph83XaGc0o0/edit?usp=sharing"",""งบพรบ!DN45"")"),111710)</f>
        <v>111710</v>
      </c>
      <c r="N282" s="93">
        <f ca="1">IFERROR(__xludf.DUMMYFUNCTION("IMPORTRANGE(""https://docs.google.com/spreadsheets/d/1MeEWN-I1oV_STSDYn1IFDPWt_1FKiwhDph83XaGc0o0/edit?usp=sharing"",""งบพรบ!DP45"")"),107095)</f>
        <v>107095</v>
      </c>
      <c r="O282" s="93">
        <f t="shared" ca="1" si="126"/>
        <v>95.868767344015751</v>
      </c>
      <c r="P282" s="93">
        <f t="shared" ca="1" si="127"/>
        <v>95.868767344015751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IFERROR(__xludf.DUMMYFUNCTION("IMPORTRANGE(""https://docs.google.com/spreadsheets/d/1MeEWN-I1oV_STSDYn1IFDPWt_1FKiwhDph83XaGc0o0/edit?usp=sharing"",""งบพรบ!DL45"")"),0)</f>
        <v>0</v>
      </c>
      <c r="M285" s="93">
        <f ca="1">IFERROR(__xludf.DUMMYFUNCTION("IMPORTRANGE(""https://docs.google.com/spreadsheets/d/1MeEWN-I1oV_STSDYn1IFDPWt_1FKiwhDph83XaGc0o0/edit?usp=sharing"",""งบพรบ!DO45"")"),0)</f>
        <v>0</v>
      </c>
      <c r="N285" s="93">
        <f ca="1">IFERROR(__xludf.DUMMYFUNCTION("IMPORTRANGE(""https://docs.google.com/spreadsheets/d/1MeEWN-I1oV_STSDYn1IFDPWt_1FKiwhDph83XaGc0o0/edit?usp=sharing"",""งบพรบ!DQ45"")"),0)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IFERROR(__xludf.DUMMYFUNCTION("IMPORTRANGE(""https://docs.google.com/spreadsheets/d/1QqKyyYR6Q21VydFLVH3TRQUabQu_ym0Zz7PgGX0-kHA/edit?usp=sharing"",""แผน!EC45"")"),300)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IFERROR(__xludf.DUMMYFUNCTION("IMPORTRANGE(""https://docs.google.com/spreadsheets/d/1QqKyyYR6Q21VydFLVH3TRQUabQu_ym0Zz7PgGX0-kHA/edit?usp=sharing"",""แผน!EB45"")"),30)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IFERROR(__xludf.DUMMYFUNCTION("IMPORTRANGE(""https://docs.google.com/spreadsheets/d/1QqKyyYR6Q21VydFLVH3TRQUabQu_ym0Zz7PgGX0-kHA/edit?usp=sharing"",""แผน!EB45"")"),30)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IFERROR(__xludf.DUMMYFUNCTION("IMPORTRANGE(""https://docs.google.com/spreadsheets/d/1QqKyyYR6Q21VydFLVH3TRQUabQu_ym0Zz7PgGX0-kHA/edit?usp=sharing"",""แผน!EB45"")"),30)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IFERROR(__xludf.DUMMYFUNCTION("IMPORTRANGE(""https://docs.google.com/spreadsheets/d/1QqKyyYR6Q21VydFLVH3TRQUabQu_ym0Zz7PgGX0-kHA/edit?usp=sharing"",""แผน!EB45"")"),30)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IFERROR(__xludf.DUMMYFUNCTION("IMPORTRANGE(""https://docs.google.com/spreadsheets/d/1QqKyyYR6Q21VydFLVH3TRQUabQu_ym0Zz7PgGX0-kHA/edit?usp=sharing"",""แผน!EB45"")"),30)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59300</v>
      </c>
      <c r="O298" s="155">
        <f t="shared" ref="O298:O306" ca="1" si="136">IF(L298&gt;0,N298*100/L298,0)</f>
        <v>71.966019417475735</v>
      </c>
      <c r="P298" s="155">
        <f t="shared" ref="P298:P306" ca="1" si="137">IF(M298&gt;0,N298*100/M298,0)</f>
        <v>92.0807453416149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59300</v>
      </c>
      <c r="O300" s="93">
        <f t="shared" ca="1" si="136"/>
        <v>71.966019417475735</v>
      </c>
      <c r="P300" s="93">
        <f t="shared" ca="1" si="137"/>
        <v>92.0807453416149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59300</v>
      </c>
      <c r="O301" s="497">
        <f t="shared" ca="1" si="136"/>
        <v>71.966019417475735</v>
      </c>
      <c r="P301" s="497">
        <f t="shared" ca="1" si="137"/>
        <v>92.0807453416149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IFERROR(__xludf.DUMMYFUNCTION("IMPORTRANGE(""https://docs.google.com/spreadsheets/d/1MeEWN-I1oV_STSDYn1IFDPWt_1FKiwhDph83XaGc0o0/edit?usp=sharing"",""งบพรบ!DS45"")"),82400)</f>
        <v>82400</v>
      </c>
      <c r="M303" s="93">
        <f ca="1">IFERROR(__xludf.DUMMYFUNCTION("IMPORTRANGE(""https://docs.google.com/spreadsheets/d/1MeEWN-I1oV_STSDYn1IFDPWt_1FKiwhDph83XaGc0o0/edit?usp=sharing"",""งบพรบ!DX45"")"),64400)</f>
        <v>64400</v>
      </c>
      <c r="N303" s="93">
        <f ca="1">IFERROR(__xludf.DUMMYFUNCTION("IMPORTRANGE(""https://docs.google.com/spreadsheets/d/1MeEWN-I1oV_STSDYn1IFDPWt_1FKiwhDph83XaGc0o0/edit?usp=sharing"",""งบพรบ!DZ45"")"),59300)</f>
        <v>59300</v>
      </c>
      <c r="O303" s="93">
        <f t="shared" ca="1" si="136"/>
        <v>71.966019417475735</v>
      </c>
      <c r="P303" s="93">
        <f t="shared" ca="1" si="137"/>
        <v>92.0807453416149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IFERROR(__xludf.DUMMYFUNCTION("IMPORTRANGE(""https://docs.google.com/spreadsheets/d/1MeEWN-I1oV_STSDYn1IFDPWt_1FKiwhDph83XaGc0o0/edit?usp=sharing"",""งบพรบ!DV45"")"),0)</f>
        <v>0</v>
      </c>
      <c r="M306" s="93">
        <f ca="1">IFERROR(__xludf.DUMMYFUNCTION("IMPORTRANGE(""https://docs.google.com/spreadsheets/d/1MeEWN-I1oV_STSDYn1IFDPWt_1FKiwhDph83XaGc0o0/edit?usp=sharing"",""งบพรบ!DY45"")"),0)</f>
        <v>0</v>
      </c>
      <c r="N306" s="93">
        <f ca="1">IFERROR(__xludf.DUMMYFUNCTION("IMPORTRANGE(""https://docs.google.com/spreadsheets/d/1MeEWN-I1oV_STSDYn1IFDPWt_1FKiwhDph83XaGc0o0/edit?usp=sharing"",""งบพรบ!EA45"")"),0)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IFERROR(__xludf.DUMMYFUNCTION("IMPORTRANGE(""https://docs.google.com/spreadsheets/d/1QqKyyYR6Q21VydFLVH3TRQUabQu_ym0Zz7PgGX0-kHA/edit?usp=sharing"",""แผน!ED45"")"),20)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IFERROR(__xludf.DUMMYFUNCTION("IMPORTRANGE(""https://docs.google.com/spreadsheets/d/1MeEWN-I1oV_STSDYn1IFDPWt_1FKiwhDph83XaGc0o0/edit?usp=sharing"",""งบพรบ!EC45"")"),0)</f>
        <v>0</v>
      </c>
      <c r="M320" s="93">
        <f ca="1">IFERROR(__xludf.DUMMYFUNCTION("IMPORTRANGE(""https://docs.google.com/spreadsheets/d/1MeEWN-I1oV_STSDYn1IFDPWt_1FKiwhDph83XaGc0o0/edit?usp=sharing"",""งบพรบ!EH45"")"),0)</f>
        <v>0</v>
      </c>
      <c r="N320" s="93">
        <f ca="1">IFERROR(__xludf.DUMMYFUNCTION("IMPORTRANGE(""https://docs.google.com/spreadsheets/d/1MeEWN-I1oV_STSDYn1IFDPWt_1FKiwhDph83XaGc0o0/edit?usp=sharing"",""งบพรบ!EJ45"")"),0)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IFERROR(__xludf.DUMMYFUNCTION("IMPORTRANGE(""https://docs.google.com/spreadsheets/d/1MeEWN-I1oV_STSDYn1IFDPWt_1FKiwhDph83XaGc0o0/edit?usp=sharing"",""งบพรบ!EF45"")"),0)</f>
        <v>0</v>
      </c>
      <c r="M323" s="93">
        <f ca="1">IFERROR(__xludf.DUMMYFUNCTION("IMPORTRANGE(""https://docs.google.com/spreadsheets/d/1MeEWN-I1oV_STSDYn1IFDPWt_1FKiwhDph83XaGc0o0/edit?usp=sharing"",""งบพรบ!EI45"")"),0)</f>
        <v>0</v>
      </c>
      <c r="N323" s="93">
        <f ca="1">IFERROR(__xludf.DUMMYFUNCTION("IMPORTRANGE(""https://docs.google.com/spreadsheets/d/1MeEWN-I1oV_STSDYn1IFDPWt_1FKiwhDph83XaGc0o0/edit?usp=sharing"",""งบพรบ!EK45"")"),0)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IFERROR(__xludf.DUMMYFUNCTION("IMPORTRANGE(""https://docs.google.com/spreadsheets/d/1QqKyyYR6Q21VydFLVH3TRQUabQu_ym0Zz7PgGX0-kHA/edit?usp=sharing"",""แผน!EG45"")"),3000)</f>
        <v>3000</v>
      </c>
      <c r="J327" s="444">
        <f ca="1">J338+J341+J342+J343</f>
        <v>3005</v>
      </c>
      <c r="K327" s="445">
        <f ca="1">IF(I327&gt;0,J327*100/I327,0)</f>
        <v>100.16666666666667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176000</v>
      </c>
      <c r="M328" s="155">
        <f t="shared" ca="1" si="149"/>
        <v>134500</v>
      </c>
      <c r="N328" s="155">
        <f t="shared" ca="1" si="149"/>
        <v>89080</v>
      </c>
      <c r="O328" s="155">
        <f t="shared" ref="O328:O336" ca="1" si="150">IF(L328&gt;0,N328*100/L328,0)</f>
        <v>50.613636363636367</v>
      </c>
      <c r="P328" s="155">
        <f t="shared" ref="P328:P336" ca="1" si="151">IF(M328&gt;0,N328*100/M328,0)</f>
        <v>66.230483271375462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176000</v>
      </c>
      <c r="M330" s="93">
        <f t="shared" ca="1" si="152"/>
        <v>134500</v>
      </c>
      <c r="N330" s="93">
        <f t="shared" ca="1" si="152"/>
        <v>89080</v>
      </c>
      <c r="O330" s="93">
        <f t="shared" ca="1" si="150"/>
        <v>50.613636363636367</v>
      </c>
      <c r="P330" s="93">
        <f t="shared" ca="1" si="151"/>
        <v>66.230483271375462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176000</v>
      </c>
      <c r="M331" s="497">
        <f t="shared" ca="1" si="153"/>
        <v>134500</v>
      </c>
      <c r="N331" s="497">
        <f t="shared" ca="1" si="153"/>
        <v>89080</v>
      </c>
      <c r="O331" s="497">
        <f t="shared" ca="1" si="150"/>
        <v>50.613636363636367</v>
      </c>
      <c r="P331" s="497">
        <f t="shared" ca="1" si="151"/>
        <v>66.230483271375462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IFERROR(__xludf.DUMMYFUNCTION("IMPORTRANGE(""https://docs.google.com/spreadsheets/d/1MeEWN-I1oV_STSDYn1IFDPWt_1FKiwhDph83XaGc0o0/edit?usp=sharing"",""งบพรบ!EM45"")"),176000)</f>
        <v>176000</v>
      </c>
      <c r="M333" s="93">
        <f ca="1">IFERROR(__xludf.DUMMYFUNCTION("IMPORTRANGE(""https://docs.google.com/spreadsheets/d/1MeEWN-I1oV_STSDYn1IFDPWt_1FKiwhDph83XaGc0o0/edit?usp=sharing"",""งบพรบ!ER45"")"),134500)</f>
        <v>134500</v>
      </c>
      <c r="N333" s="93">
        <f ca="1">IFERROR(__xludf.DUMMYFUNCTION("IMPORTRANGE(""https://docs.google.com/spreadsheets/d/1MeEWN-I1oV_STSDYn1IFDPWt_1FKiwhDph83XaGc0o0/edit?usp=sharing"",""งบพรบ!ET45"")"),89080)</f>
        <v>89080</v>
      </c>
      <c r="O333" s="93">
        <f t="shared" ca="1" si="150"/>
        <v>50.613636363636367</v>
      </c>
      <c r="P333" s="93">
        <f t="shared" ca="1" si="151"/>
        <v>66.230483271375462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IFERROR(__xludf.DUMMYFUNCTION("IMPORTRANGE(""https://docs.google.com/spreadsheets/d/1MeEWN-I1oV_STSDYn1IFDPWt_1FKiwhDph83XaGc0o0/edit?usp=sharing"",""งบพรบ!EP45"")"),0)</f>
        <v>0</v>
      </c>
      <c r="M336" s="93">
        <f ca="1">IFERROR(__xludf.DUMMYFUNCTION("IMPORTRANGE(""https://docs.google.com/spreadsheets/d/1MeEWN-I1oV_STSDYn1IFDPWt_1FKiwhDph83XaGc0o0/edit?usp=sharing"",""งบพรบ!ES45"")"),0)</f>
        <v>0</v>
      </c>
      <c r="N336" s="93">
        <f ca="1">IFERROR(__xludf.DUMMYFUNCTION("IMPORTRANGE(""https://docs.google.com/spreadsheets/d/1MeEWN-I1oV_STSDYn1IFDPWt_1FKiwhDph83XaGc0o0/edit?usp=sharing"",""งบพรบ!EU45"")"),0)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IFERROR(__xludf.DUMMYFUNCTION("IMPORTRANGE(""https://docs.google.com/spreadsheets/d/1QqKyyYR6Q21VydFLVH3TRQUabQu_ym0Zz7PgGX0-kHA/edit?usp=sharing"",""แผน!EG45"")"),3000)</f>
        <v>3000</v>
      </c>
      <c r="J338" s="270">
        <f ca="1">IFERROR(__xludf.DUMMYFUNCTION("IMPORTRANGE(""https://docs.google.com/spreadsheets/d/1kVcqe37tkHyjCSG3S0O1AXqVkqjo8mSIZil3BcpIysc/edit?usp=sharing"",""ศูนย์!D45"")"),1999)</f>
        <v>1999</v>
      </c>
      <c r="K338" s="497">
        <f ca="1">IF(I338&gt;0,J338*100/I338,0)</f>
        <v>66.63333333333334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IFERROR(__xludf.DUMMYFUNCTION("IMPORTRANGE(""https://docs.google.com/spreadsheets/d/1QqKyyYR6Q21VydFLVH3TRQUabQu_ym0Zz7PgGX0-kHA/edit?usp=sharing"",""แผน!EH45"")"),9)</f>
        <v>9</v>
      </c>
      <c r="J340" s="270">
        <f ca="1">IFERROR(__xludf.DUMMYFUNCTION("IMPORTRANGE(""https://docs.google.com/spreadsheets/d/1kVcqe37tkHyjCSG3S0O1AXqVkqjo8mSIZil3BcpIysc/edit?usp=sharing"",""ศูนย์!E45"")"),6)</f>
        <v>6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IFERROR(__xludf.DUMMYFUNCTION("IMPORTRANGE(""https://docs.google.com/spreadsheets/d/1kVcqe37tkHyjCSG3S0O1AXqVkqjo8mSIZil3BcpIysc/edit?usp=sharing"",""ศูนย์!F45"")"),1006)</f>
        <v>1006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1645500</v>
      </c>
      <c r="M345" s="155">
        <f t="shared" ca="1" si="155"/>
        <v>1256630</v>
      </c>
      <c r="N345" s="155">
        <f t="shared" ca="1" si="155"/>
        <v>835683.8</v>
      </c>
      <c r="O345" s="155">
        <f t="shared" ref="O345:O353" ca="1" si="156">IF(L345&gt;0,N345*100/L345,0)</f>
        <v>50.78601033120632</v>
      </c>
      <c r="P345" s="155">
        <f t="shared" ref="P345:P353" ca="1" si="157">IF(M345&gt;0,N345*100/M345,0)</f>
        <v>66.501977511280174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1645500</v>
      </c>
      <c r="M347" s="93">
        <f t="shared" ca="1" si="158"/>
        <v>1256630</v>
      </c>
      <c r="N347" s="93">
        <f t="shared" ca="1" si="158"/>
        <v>835683.8</v>
      </c>
      <c r="O347" s="93">
        <f t="shared" ca="1" si="156"/>
        <v>50.78601033120632</v>
      </c>
      <c r="P347" s="93">
        <f t="shared" ca="1" si="157"/>
        <v>66.501977511280174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1523900</v>
      </c>
      <c r="M348" s="497">
        <f t="shared" ca="1" si="159"/>
        <v>1135030</v>
      </c>
      <c r="N348" s="497">
        <f t="shared" ca="1" si="159"/>
        <v>714083.8</v>
      </c>
      <c r="O348" s="497">
        <f t="shared" ca="1" si="156"/>
        <v>46.858967123827021</v>
      </c>
      <c r="P348" s="497">
        <f t="shared" ca="1" si="157"/>
        <v>62.913209342484336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IFERROR(__xludf.DUMMYFUNCTION("IMPORTRANGE(""https://docs.google.com/spreadsheets/d/1MeEWN-I1oV_STSDYn1IFDPWt_1FKiwhDph83XaGc0o0/edit?usp=sharing"",""งบพรบ!EW45"")"),1523900)</f>
        <v>1523900</v>
      </c>
      <c r="M350" s="93">
        <f ca="1">IFERROR(__xludf.DUMMYFUNCTION("IMPORTRANGE(""https://docs.google.com/spreadsheets/d/1MeEWN-I1oV_STSDYn1IFDPWt_1FKiwhDph83XaGc0o0/edit?usp=sharing"",""งบพรบ!FB45"")"),1135030)</f>
        <v>1135030</v>
      </c>
      <c r="N350" s="93">
        <f ca="1">IFERROR(__xludf.DUMMYFUNCTION("IMPORTRANGE(""https://docs.google.com/spreadsheets/d/1MeEWN-I1oV_STSDYn1IFDPWt_1FKiwhDph83XaGc0o0/edit?usp=sharing"",""งบพรบ!FD45"")"),714083.8)</f>
        <v>714083.8</v>
      </c>
      <c r="O350" s="93">
        <f t="shared" ca="1" si="156"/>
        <v>46.858967123827021</v>
      </c>
      <c r="P350" s="93">
        <f t="shared" ca="1" si="157"/>
        <v>62.913209342484336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121600</v>
      </c>
      <c r="M351" s="497">
        <f t="shared" ca="1" si="160"/>
        <v>121600</v>
      </c>
      <c r="N351" s="497">
        <f t="shared" ca="1" si="160"/>
        <v>121600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IFERROR(__xludf.DUMMYFUNCTION("IMPORTRANGE(""https://docs.google.com/spreadsheets/d/1MeEWN-I1oV_STSDYn1IFDPWt_1FKiwhDph83XaGc0o0/edit?usp=sharing"",""งบพรบ!EZ45"")"),121600)</f>
        <v>121600</v>
      </c>
      <c r="M353" s="93">
        <f ca="1">IFERROR(__xludf.DUMMYFUNCTION("IMPORTRANGE(""https://docs.google.com/spreadsheets/d/1MeEWN-I1oV_STSDYn1IFDPWt_1FKiwhDph83XaGc0o0/edit?usp=sharing"",""งบพรบ!FC45"")"),121600)</f>
        <v>121600</v>
      </c>
      <c r="N353" s="93">
        <f ca="1">IFERROR(__xludf.DUMMYFUNCTION("IMPORTRANGE(""https://docs.google.com/spreadsheets/d/1MeEWN-I1oV_STSDYn1IFDPWt_1FKiwhDph83XaGc0o0/edit?usp=sharing"",""งบพรบ!FE45"")"),121600)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IFERROR(__xludf.DUMMYFUNCTION("IMPORTRANGE(""https://docs.google.com/spreadsheets/d/1QqKyyYR6Q21VydFLVH3TRQUabQu_ym0Zz7PgGX0-kHA/edit?usp=sharing"",""แผน!EP45"")"),840)</f>
        <v>840</v>
      </c>
      <c r="J355" s="464">
        <f ca="1">J362</f>
        <v>201</v>
      </c>
      <c r="K355" s="465">
        <f ca="1">IF(I355&gt;0,J355*100/I355,0)</f>
        <v>23.928571428571427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IFERROR(__xludf.DUMMYFUNCTION("IMPORTRANGE(""https://docs.google.com/spreadsheets/d/1XWAQStnk-4SwqDmLtmXYiTMKHgktTP8We1SCoS47DrQ/edit?usp=sharing"",""จัดที่ดิน!W45"")"),561)</f>
        <v>561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IFERROR(__xludf.DUMMYFUNCTION("IMPORTRANGE(""https://docs.google.com/spreadsheets/d/1QqKyyYR6Q21VydFLVH3TRQUabQu_ym0Zz7PgGX0-kHA/edit?usp=sharing"",""แผน!EO45"")"),10400)</f>
        <v>10400</v>
      </c>
      <c r="J359" s="270">
        <f ca="1">IFERROR(__xludf.DUMMYFUNCTION("IMPORTRANGE(""https://docs.google.com/spreadsheets/d/1XWAQStnk-4SwqDmLtmXYiTMKHgktTP8We1SCoS47DrQ/edit?usp=sharing"",""จัดที่ดิน!X45"")"),4348.23)</f>
        <v>4348.2299999999996</v>
      </c>
      <c r="K359" s="497">
        <f t="shared" ca="1" si="161"/>
        <v>41.809903846153837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IFERROR(__xludf.DUMMYFUNCTION("IMPORTRANGE(""https://docs.google.com/spreadsheets/d/1QqKyyYR6Q21VydFLVH3TRQUabQu_ym0Zz7PgGX0-kHA/edit?usp=sharing"",""แผน!EP45"")"),840)</f>
        <v>840</v>
      </c>
      <c r="J360" s="270">
        <f ca="1">IFERROR(__xludf.DUMMYFUNCTION("IMPORTRANGE(""https://docs.google.com/spreadsheets/d/1XWAQStnk-4SwqDmLtmXYiTMKHgktTP8We1SCoS47DrQ/edit?usp=sharing"",""จัดที่ดิน!Y45"")"),512)</f>
        <v>512</v>
      </c>
      <c r="K360" s="497">
        <f t="shared" ca="1" si="161"/>
        <v>60.952380952380949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IFERROR(__xludf.DUMMYFUNCTION("IMPORTRANGE(""https://docs.google.com/spreadsheets/d/1XWAQStnk-4SwqDmLtmXYiTMKHgktTP8We1SCoS47DrQ/edit?usp=sharing"",""จัดที่ดิน!Z45"")"),3692.51)</f>
        <v>3692.51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IFERROR(__xludf.DUMMYFUNCTION("IMPORTRANGE(""https://docs.google.com/spreadsheets/d/1QqKyyYR6Q21VydFLVH3TRQUabQu_ym0Zz7PgGX0-kHA/edit?usp=sharing"",""แผน!EP45"")"),840)</f>
        <v>840</v>
      </c>
      <c r="J362" s="270">
        <f ca="1">IFERROR(__xludf.DUMMYFUNCTION("IMPORTRANGE(""https://docs.google.com/spreadsheets/d/1XWAQStnk-4SwqDmLtmXYiTMKHgktTP8We1SCoS47DrQ/edit?usp=sharing"",""จัดที่ดิน!AA45"")"),201)</f>
        <v>201</v>
      </c>
      <c r="K362" s="497">
        <f t="shared" ca="1" si="161"/>
        <v>23.928571428571427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IFERROR(__xludf.DUMMYFUNCTION("IMPORTRANGE(""https://docs.google.com/spreadsheets/d/1XWAQStnk-4SwqDmLtmXYiTMKHgktTP8We1SCoS47DrQ/edit?usp=sharing"",""จัดที่ดิน!AB45"")"),1466.07)</f>
        <v>1466.07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1890</v>
      </c>
      <c r="J364" s="478">
        <f t="shared" ca="1" si="162"/>
        <v>450</v>
      </c>
      <c r="K364" s="479">
        <f t="shared" ca="1" si="161"/>
        <v>23.80952380952381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IFERROR(__xludf.DUMMYFUNCTION("IMPORTRANGE(""https://docs.google.com/spreadsheets/d/1QqKyyYR6Q21VydFLVH3TRQUabQu_ym0Zz7PgGX0-kHA/edit?usp=sharing"",""แผน!EJ45"")"),370)</f>
        <v>370</v>
      </c>
      <c r="J365" s="490">
        <f ca="1">J372</f>
        <v>30</v>
      </c>
      <c r="K365" s="491">
        <f t="shared" ca="1" si="161"/>
        <v>8.1081081081081088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IFERROR(__xludf.DUMMYFUNCTION("IMPORTRANGE(""https://docs.google.com/spreadsheets/d/1XWAQStnk-4SwqDmLtmXYiTMKHgktTP8We1SCoS47DrQ/edit?usp=sharing"",""จัดที่ดิน!E45"")"),112)</f>
        <v>112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IFERROR(__xludf.DUMMYFUNCTION("IMPORTRANGE(""https://docs.google.com/spreadsheets/d/1QqKyyYR6Q21VydFLVH3TRQUabQu_ym0Zz7PgGX0-kHA/edit?usp=sharing"",""แผน!EI45"")"),3700)</f>
        <v>3700</v>
      </c>
      <c r="J369" s="270">
        <f ca="1">IFERROR(__xludf.DUMMYFUNCTION("IMPORTRANGE(""https://docs.google.com/spreadsheets/d/1XWAQStnk-4SwqDmLtmXYiTMKHgktTP8We1SCoS47DrQ/edit?usp=sharing"",""จัดที่ดิน!F45"")"),1252.02)</f>
        <v>1252.02</v>
      </c>
      <c r="K369" s="497">
        <f t="shared" ca="1" si="163"/>
        <v>33.83837837837838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IFERROR(__xludf.DUMMYFUNCTION("IMPORTRANGE(""https://docs.google.com/spreadsheets/d/1QqKyyYR6Q21VydFLVH3TRQUabQu_ym0Zz7PgGX0-kHA/edit?usp=sharing"",""แผน!EJ45"")"),370)</f>
        <v>370</v>
      </c>
      <c r="J370" s="270">
        <f ca="1">IFERROR(__xludf.DUMMYFUNCTION("IMPORTRANGE(""https://docs.google.com/spreadsheets/d/1XWAQStnk-4SwqDmLtmXYiTMKHgktTP8We1SCoS47DrQ/edit?usp=sharing"",""จัดที่ดิน!G45"")"),76)</f>
        <v>76</v>
      </c>
      <c r="K370" s="497">
        <f t="shared" ca="1" si="163"/>
        <v>20.54054054054054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IFERROR(__xludf.DUMMYFUNCTION("IMPORTRANGE(""https://docs.google.com/spreadsheets/d/1XWAQStnk-4SwqDmLtmXYiTMKHgktTP8We1SCoS47DrQ/edit?usp=sharing"",""จัดที่ดิน!H45"")"),629.71)</f>
        <v>629.71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IFERROR(__xludf.DUMMYFUNCTION("IMPORTRANGE(""https://docs.google.com/spreadsheets/d/1QqKyyYR6Q21VydFLVH3TRQUabQu_ym0Zz7PgGX0-kHA/edit?usp=sharing"",""แผน!EJ45"")"),370)</f>
        <v>370</v>
      </c>
      <c r="J372" s="270">
        <f ca="1">IFERROR(__xludf.DUMMYFUNCTION("IMPORTRANGE(""https://docs.google.com/spreadsheets/d/1XWAQStnk-4SwqDmLtmXYiTMKHgktTP8We1SCoS47DrQ/edit?usp=sharing"",""จัดที่ดิน!I45"")"),30)</f>
        <v>30</v>
      </c>
      <c r="K372" s="497">
        <f t="shared" ca="1" si="163"/>
        <v>8.1081081081081088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IFERROR(__xludf.DUMMYFUNCTION("IMPORTRANGE(""https://docs.google.com/spreadsheets/d/1XWAQStnk-4SwqDmLtmXYiTMKHgktTP8We1SCoS47DrQ/edit?usp=sharing"",""จัดที่ดิน!J45"")"),219.54)</f>
        <v>219.54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IFERROR(__xludf.DUMMYFUNCTION("IMPORTRANGE(""https://docs.google.com/spreadsheets/d/1QqKyyYR6Q21VydFLVH3TRQUabQu_ym0Zz7PgGX0-kHA/edit?usp=sharing"",""แผน!EU45"")"),1520)</f>
        <v>1520</v>
      </c>
      <c r="J374" s="490">
        <f ca="1">J381</f>
        <v>420</v>
      </c>
      <c r="K374" s="491">
        <f t="shared" ca="1" si="163"/>
        <v>27.631578947368421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IFERROR(__xludf.DUMMYFUNCTION("IMPORTRANGE(""https://docs.google.com/spreadsheets/d/1XWAQStnk-4SwqDmLtmXYiTMKHgktTP8We1SCoS47DrQ/edit?usp=sharing"",""จัดที่ดิน!AH45"")"),449)</f>
        <v>449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IFERROR(__xludf.DUMMYFUNCTION("IMPORTRANGE(""https://docs.google.com/spreadsheets/d/1QqKyyYR6Q21VydFLVH3TRQUabQu_ym0Zz7PgGX0-kHA/edit?usp=sharing"",""แผน!ET45"")"),6700)</f>
        <v>6700</v>
      </c>
      <c r="J378" s="270">
        <f ca="1">IFERROR(__xludf.DUMMYFUNCTION("IMPORTRANGE(""https://docs.google.com/spreadsheets/d/1XWAQStnk-4SwqDmLtmXYiTMKHgktTP8We1SCoS47DrQ/edit?usp=sharing"",""จัดที่ดิน!AI45"")"),3096.21)</f>
        <v>3096.21</v>
      </c>
      <c r="K378" s="497">
        <f t="shared" ca="1" si="164"/>
        <v>46.212089552238808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IFERROR(__xludf.DUMMYFUNCTION("IMPORTRANGE(""https://docs.google.com/spreadsheets/d/1QqKyyYR6Q21VydFLVH3TRQUabQu_ym0Zz7PgGX0-kHA/edit?usp=sharing"",""แผน!EU45"")"),1520)</f>
        <v>1520</v>
      </c>
      <c r="J379" s="270">
        <f ca="1">IFERROR(__xludf.DUMMYFUNCTION("IMPORTRANGE(""https://docs.google.com/spreadsheets/d/1XWAQStnk-4SwqDmLtmXYiTMKHgktTP8We1SCoS47DrQ/edit?usp=sharing"",""จัดที่ดิน!AJ45"")"),734)</f>
        <v>734</v>
      </c>
      <c r="K379" s="497">
        <f t="shared" ca="1" si="164"/>
        <v>48.289473684210527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IFERROR(__xludf.DUMMYFUNCTION("IMPORTRANGE(""https://docs.google.com/spreadsheets/d/1XWAQStnk-4SwqDmLtmXYiTMKHgktTP8We1SCoS47DrQ/edit?usp=sharing"",""จัดที่ดิน!AK45"")"),6453.21)</f>
        <v>6453.21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IFERROR(__xludf.DUMMYFUNCTION("IMPORTRANGE(""https://docs.google.com/spreadsheets/d/1QqKyyYR6Q21VydFLVH3TRQUabQu_ym0Zz7PgGX0-kHA/edit?usp=sharing"",""แผน!EU45"")"),1520)</f>
        <v>1520</v>
      </c>
      <c r="J381" s="270">
        <f ca="1">IFERROR(__xludf.DUMMYFUNCTION("IMPORTRANGE(""https://docs.google.com/spreadsheets/d/1XWAQStnk-4SwqDmLtmXYiTMKHgktTP8We1SCoS47DrQ/edit?usp=sharing"",""จัดที่ดิน!AL45"")"),420)</f>
        <v>420</v>
      </c>
      <c r="K381" s="497">
        <f t="shared" ca="1" si="164"/>
        <v>27.631578947368421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IFERROR(__xludf.DUMMYFUNCTION("IMPORTRANGE(""https://docs.google.com/spreadsheets/d/1XWAQStnk-4SwqDmLtmXYiTMKHgktTP8We1SCoS47DrQ/edit?usp=sharing"",""จัดที่ดิน!AM45"")"),4133.58)</f>
        <v>4133.58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IFERROR(__xludf.DUMMYFUNCTION("IMPORTRANGE(""https://docs.google.com/spreadsheets/d/1QqKyyYR6Q21VydFLVH3TRQUabQu_ym0Zz7PgGX0-kHA/edit?usp=sharing"",""แผน!EW45"")"),150)</f>
        <v>150</v>
      </c>
      <c r="J385" s="504">
        <f ca="1">IFERROR(__xludf.DUMMYFUNCTION("IMPORTRANGE(""https://docs.google.com/spreadsheets/d/1XWAQStnk-4SwqDmLtmXYiTMKHgktTP8We1SCoS47DrQ/edit?usp=sharing"",""จัดที่ดิน!AP45"")"),81)</f>
        <v>81</v>
      </c>
      <c r="K385" s="505">
        <f ca="1">IF(I385&gt;0,J385*100/I385,0)</f>
        <v>54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IFERROR(__xludf.DUMMYFUNCTION("IMPORTRANGE(""https://docs.google.com/spreadsheets/d/1MeEWN-I1oV_STSDYn1IFDPWt_1FKiwhDph83XaGc0o0/edit?usp=sharing"",""งบพรบ!FG45"")"),0)</f>
        <v>0</v>
      </c>
      <c r="M394" s="93">
        <f ca="1">IFERROR(__xludf.DUMMYFUNCTION("IMPORTRANGE(""https://docs.google.com/spreadsheets/d/1MeEWN-I1oV_STSDYn1IFDPWt_1FKiwhDph83XaGc0o0/edit?usp=sharing"",""งบพรบ!FL45"")"),0)</f>
        <v>0</v>
      </c>
      <c r="N394" s="93">
        <f ca="1">IFERROR(__xludf.DUMMYFUNCTION("IMPORTRANGE(""https://docs.google.com/spreadsheets/d/1MeEWN-I1oV_STSDYn1IFDPWt_1FKiwhDph83XaGc0o0/edit?usp=sharing"",""งบพรบ!FN45"")"),0)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IFERROR(__xludf.DUMMYFUNCTION("IMPORTRANGE(""https://docs.google.com/spreadsheets/d/1MeEWN-I1oV_STSDYn1IFDPWt_1FKiwhDph83XaGc0o0/edit?usp=sharing"",""งบพรบ!FJ45"")"),0)</f>
        <v>0</v>
      </c>
      <c r="M397" s="93">
        <f ca="1">IFERROR(__xludf.DUMMYFUNCTION("IMPORTRANGE(""https://docs.google.com/spreadsheets/d/1MeEWN-I1oV_STSDYn1IFDPWt_1FKiwhDph83XaGc0o0/edit?usp=sharing"",""งบพรบ!FM45"")"),0)</f>
        <v>0</v>
      </c>
      <c r="N397" s="93">
        <f ca="1">IFERROR(__xludf.DUMMYFUNCTION("IMPORTRANGE(""https://docs.google.com/spreadsheets/d/1MeEWN-I1oV_STSDYn1IFDPWt_1FKiwhDph83XaGc0o0/edit?usp=sharing"",""งบพรบ!FO45"")"),0)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IFERROR(__xludf.DUMMYFUNCTION("IMPORTRANGE(""https://docs.google.com/spreadsheets/d/1MeEWN-I1oV_STSDYn1IFDPWt_1FKiwhDph83XaGc0o0/edit?usp=sharing"",""งบพรบ!FQ45"")"),0)</f>
        <v>0</v>
      </c>
      <c r="M407" s="93">
        <f ca="1">IFERROR(__xludf.DUMMYFUNCTION("IMPORTRANGE(""https://docs.google.com/spreadsheets/d/1MeEWN-I1oV_STSDYn1IFDPWt_1FKiwhDph83XaGc0o0/edit?usp=sharing"",""งบพรบ!FV45"")"),0)</f>
        <v>0</v>
      </c>
      <c r="N407" s="93">
        <f ca="1">IFERROR(__xludf.DUMMYFUNCTION("IMPORTRANGE(""https://docs.google.com/spreadsheets/d/1MeEWN-I1oV_STSDYn1IFDPWt_1FKiwhDph83XaGc0o0/edit?usp=sharing"",""งบพรบ!FX45"")"),0)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IFERROR(__xludf.DUMMYFUNCTION("IMPORTRANGE(""https://docs.google.com/spreadsheets/d/1MeEWN-I1oV_STSDYn1IFDPWt_1FKiwhDph83XaGc0o0/edit?usp=sharing"",""งบพรบ!FT45"")"),0)</f>
        <v>0</v>
      </c>
      <c r="M410" s="93">
        <f ca="1">IFERROR(__xludf.DUMMYFUNCTION("IMPORTRANGE(""https://docs.google.com/spreadsheets/d/1MeEWN-I1oV_STSDYn1IFDPWt_1FKiwhDph83XaGc0o0/edit?usp=sharing"",""งบพรบ!FW45"")"),0)</f>
        <v>0</v>
      </c>
      <c r="N410" s="93">
        <f ca="1">IFERROR(__xludf.DUMMYFUNCTION("IMPORTRANGE(""https://docs.google.com/spreadsheets/d/1MeEWN-I1oV_STSDYn1IFDPWt_1FKiwhDph83XaGc0o0/edit?usp=sharing"",""งบพรบ!FY45"")"),0)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2822655</v>
      </c>
      <c r="M414" s="552">
        <f t="shared" ca="1" si="181"/>
        <v>2820650</v>
      </c>
      <c r="N414" s="552">
        <f t="shared" si="181"/>
        <v>1251830.1599999999</v>
      </c>
      <c r="O414" s="552">
        <f ca="1">IF(L414&gt;0,N414*100/L414,0)</f>
        <v>44.349385950461532</v>
      </c>
      <c r="P414" s="552">
        <f ca="1">IF(M414&gt;0,N414*100/M414,0)</f>
        <v>44.380910782975548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103360</v>
      </c>
      <c r="M419" s="155">
        <f t="shared" ca="1" si="184"/>
        <v>101355</v>
      </c>
      <c r="N419" s="155">
        <f t="shared" si="184"/>
        <v>84105</v>
      </c>
      <c r="O419" s="155">
        <f t="shared" ref="O419:O424" ca="1" si="185">IF(L419&gt;0,N419*100/L419,0)</f>
        <v>81.370936532507741</v>
      </c>
      <c r="P419" s="155">
        <f t="shared" ref="P419:P424" ca="1" si="186">IF(M419&gt;0,N419*100/M419,0)</f>
        <v>82.980612697942874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103360</v>
      </c>
      <c r="M421" s="93">
        <f t="shared" ca="1" si="187"/>
        <v>101355</v>
      </c>
      <c r="N421" s="93">
        <f t="shared" si="187"/>
        <v>84105</v>
      </c>
      <c r="O421" s="93">
        <f t="shared" ca="1" si="185"/>
        <v>81.370936532507741</v>
      </c>
      <c r="P421" s="93">
        <f t="shared" ca="1" si="186"/>
        <v>82.980612697942874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103360</v>
      </c>
      <c r="M422" s="497">
        <f t="shared" ca="1" si="188"/>
        <v>101355</v>
      </c>
      <c r="N422" s="497">
        <f t="shared" si="188"/>
        <v>84105</v>
      </c>
      <c r="O422" s="497">
        <f t="shared" ca="1" si="185"/>
        <v>81.370936532507741</v>
      </c>
      <c r="P422" s="497">
        <f t="shared" ca="1" si="186"/>
        <v>82.980612697942874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IFERROR(__xludf.DUMMYFUNCTION("IMPORTRANGE(""https://docs.google.com/spreadsheets/d/1QqKyyYR6Q21VydFLVH3TRQUabQu_ym0Zz7PgGX0-kHA/edit?usp=sharing"",""แผน!EY45"")"),103360)</f>
        <v>103360</v>
      </c>
      <c r="M424" s="93">
        <f ca="1">L424-2005</f>
        <v>101355</v>
      </c>
      <c r="N424" s="93">
        <f>N425+N426+N427+N428</f>
        <v>84105</v>
      </c>
      <c r="O424" s="93">
        <f t="shared" ca="1" si="185"/>
        <v>81.370936532507741</v>
      </c>
      <c r="P424" s="93">
        <f t="shared" ca="1" si="186"/>
        <v>82.980612697942874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50280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33825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180</v>
      </c>
      <c r="J443" s="568">
        <f t="shared" si="196"/>
        <v>180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468800</v>
      </c>
      <c r="M444" s="195">
        <f t="shared" ca="1" si="197"/>
        <v>468800</v>
      </c>
      <c r="N444" s="195">
        <f t="shared" si="197"/>
        <v>210063</v>
      </c>
      <c r="O444" s="195">
        <f t="shared" ref="O444:O449" ca="1" si="198">IF(L444&gt;0,N444*100/L444,0)</f>
        <v>44.808660409556317</v>
      </c>
      <c r="P444" s="195">
        <f t="shared" ref="P444:P449" ca="1" si="199">IF(M444&gt;0,N444*100/M444,0)</f>
        <v>44.808660409556317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468800</v>
      </c>
      <c r="M446" s="93">
        <f t="shared" ca="1" si="200"/>
        <v>468800</v>
      </c>
      <c r="N446" s="93">
        <f t="shared" si="200"/>
        <v>210063</v>
      </c>
      <c r="O446" s="93">
        <f t="shared" ca="1" si="198"/>
        <v>44.808660409556317</v>
      </c>
      <c r="P446" s="93">
        <f t="shared" ca="1" si="199"/>
        <v>44.808660409556317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468800</v>
      </c>
      <c r="M447" s="497">
        <f t="shared" ca="1" si="201"/>
        <v>468800</v>
      </c>
      <c r="N447" s="497">
        <f t="shared" si="201"/>
        <v>210063</v>
      </c>
      <c r="O447" s="497">
        <f t="shared" ca="1" si="198"/>
        <v>44.808660409556317</v>
      </c>
      <c r="P447" s="497">
        <f t="shared" ca="1" si="199"/>
        <v>44.808660409556317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IFERROR(__xludf.DUMMYFUNCTION("IMPORTRANGE(""https://docs.google.com/spreadsheets/d/1QqKyyYR6Q21VydFLVH3TRQUabQu_ym0Zz7PgGX0-kHA/edit?usp=sharing"",""แผน!FJ45"")"),468800)</f>
        <v>468800</v>
      </c>
      <c r="M449" s="93">
        <f ca="1">L449</f>
        <v>468800</v>
      </c>
      <c r="N449" s="93">
        <f>N450+N451+N452+N453</f>
        <v>210063</v>
      </c>
      <c r="O449" s="93">
        <f t="shared" ca="1" si="198"/>
        <v>44.808660409556317</v>
      </c>
      <c r="P449" s="93">
        <f t="shared" ca="1" si="199"/>
        <v>44.808660409556317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103038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78000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29025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IFERROR(__xludf.DUMMYFUNCTION("IMPORTRANGE(""https://docs.google.com/spreadsheets/d/1QqKyyYR6Q21VydFLVH3TRQUabQu_ym0Zz7PgGX0-kHA/edit?usp=sharing"",""แผน!FN45"")"),70)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IFERROR(__xludf.DUMMYFUNCTION("IMPORTRANGE(""https://docs.google.com/spreadsheets/d/1QqKyyYR6Q21VydFLVH3TRQUabQu_ym0Zz7PgGX0-kHA/edit?usp=sharing"",""แผน!FO45"")"),180)</f>
        <v>180</v>
      </c>
      <c r="J462" s="215">
        <v>180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IFERROR(__xludf.DUMMYFUNCTION("IMPORTRANGE(""https://docs.google.com/spreadsheets/d/1QqKyyYR6Q21VydFLVH3TRQUabQu_ym0Zz7PgGX0-kHA/edit?usp=sharing"",""แผน!FO45"")"),180)</f>
        <v>180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IFERROR(__xludf.DUMMYFUNCTION("IMPORTRANGE(""https://docs.google.com/spreadsheets/d/1QqKyyYR6Q21VydFLVH3TRQUabQu_ym0Zz7PgGX0-kHA/edit?usp=sharing"",""แผน!FN45"")"),70)</f>
        <v>70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IFERROR(__xludf.DUMMYFUNCTION("IMPORTRANGE(""https://docs.google.com/spreadsheets/d/1QqKyyYR6Q21VydFLVH3TRQUabQu_ym0Zz7PgGX0-kHA/edit?usp=sharing"",""แผน!FX45"")"),61)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IFERROR(__xludf.DUMMYFUNCTION("IMPORTRANGE(""https://docs.google.com/spreadsheets/d/1QqKyyYR6Q21VydFLVH3TRQUabQu_ym0Zz7PgGX0-kHA/edit?usp=sharing"",""แผน!FW45"")"),600)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492543</v>
      </c>
      <c r="M467" s="195">
        <f t="shared" ca="1" si="206"/>
        <v>492543</v>
      </c>
      <c r="N467" s="195">
        <f t="shared" si="206"/>
        <v>90334</v>
      </c>
      <c r="O467" s="195">
        <f t="shared" ref="O467:O472" ca="1" si="207">IF(L467&gt;0,N467*100/L467,0)</f>
        <v>18.340327646520201</v>
      </c>
      <c r="P467" s="195">
        <f t="shared" ref="P467:P472" ca="1" si="208">IF(M467&gt;0,N467*100/M467,0)</f>
        <v>18.340327646520201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492543</v>
      </c>
      <c r="M469" s="93">
        <f t="shared" ca="1" si="209"/>
        <v>492543</v>
      </c>
      <c r="N469" s="93">
        <f t="shared" si="209"/>
        <v>90334</v>
      </c>
      <c r="O469" s="93">
        <f t="shared" ca="1" si="207"/>
        <v>18.340327646520201</v>
      </c>
      <c r="P469" s="93">
        <f t="shared" ca="1" si="208"/>
        <v>18.340327646520201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492543</v>
      </c>
      <c r="M470" s="497">
        <f t="shared" ca="1" si="210"/>
        <v>492543</v>
      </c>
      <c r="N470" s="497">
        <f t="shared" si="210"/>
        <v>90334</v>
      </c>
      <c r="O470" s="497">
        <f t="shared" ca="1" si="207"/>
        <v>18.340327646520201</v>
      </c>
      <c r="P470" s="497">
        <f t="shared" ca="1" si="208"/>
        <v>18.340327646520201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IFERROR(__xludf.DUMMYFUNCTION("IMPORTRANGE(""https://docs.google.com/spreadsheets/d/1QqKyyYR6Q21VydFLVH3TRQUabQu_ym0Zz7PgGX0-kHA/edit?usp=sharing"",""แผน!FS45"")"),492543)</f>
        <v>492543</v>
      </c>
      <c r="M472" s="93">
        <f ca="1">L472</f>
        <v>492543</v>
      </c>
      <c r="N472" s="93">
        <f>N473+N474+N475+N476</f>
        <v>90334</v>
      </c>
      <c r="O472" s="93">
        <f t="shared" ca="1" si="207"/>
        <v>18.340327646520201</v>
      </c>
      <c r="P472" s="93">
        <f t="shared" ca="1" si="208"/>
        <v>18.340327646520201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57004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33330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IFERROR(__xludf.DUMMYFUNCTION("IMPORTRANGE(""https://docs.google.com/spreadsheets/d/1QqKyyYR6Q21VydFLVH3TRQUabQu_ym0Zz7PgGX0-kHA/edit?usp=sharing"",""แผน!FY45"")"),540)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IFERROR(__xludf.DUMMYFUNCTION("IMPORTRANGE(""https://docs.google.com/spreadsheets/d/1QqKyyYR6Q21VydFLVH3TRQUabQu_ym0Zz7PgGX0-kHA/edit?usp=sharing"",""แผน!FZ45"")"),54)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IFERROR(__xludf.DUMMYFUNCTION("IMPORTRANGE(""https://docs.google.com/spreadsheets/d/1QqKyyYR6Q21VydFLVH3TRQUabQu_ym0Zz7PgGX0-kHA/edit?usp=sharing"",""แผน!GA45"")"),60)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IFERROR(__xludf.DUMMYFUNCTION("IMPORTRANGE(""https://docs.google.com/spreadsheets/d/1QqKyyYR6Q21VydFLVH3TRQUabQu_ym0Zz7PgGX0-kHA/edit?usp=sharing"",""แผน!GB45"")"),6)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IFERROR(__xludf.DUMMYFUNCTION("IMPORTRANGE(""https://docs.google.com/spreadsheets/d/1QqKyyYR6Q21VydFLVH3TRQUabQu_ym0Zz7PgGX0-kHA/edit?usp=sharing"",""แผน!FY45"")"),540)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IFERROR(__xludf.DUMMYFUNCTION("IMPORTRANGE(""https://docs.google.com/spreadsheets/d/1QqKyyYR6Q21VydFLVH3TRQUabQu_ym0Zz7PgGX0-kHA/edit?usp=sharing"",""แผน!GA45"")"),60)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59640</v>
      </c>
      <c r="J543" s="685">
        <f t="shared" si="235"/>
        <v>59652.924999999996</v>
      </c>
      <c r="K543" s="686">
        <f t="shared" ca="1" si="234"/>
        <v>100.02167169684775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402462</v>
      </c>
      <c r="M544" s="155">
        <f t="shared" ca="1" si="236"/>
        <v>402462</v>
      </c>
      <c r="N544" s="155">
        <f t="shared" si="236"/>
        <v>288684.5</v>
      </c>
      <c r="O544" s="155">
        <f t="shared" ref="O544:O549" ca="1" si="237">IF(L544&gt;0,N544*100/L544,0)</f>
        <v>71.729629132688302</v>
      </c>
      <c r="P544" s="155">
        <f t="shared" ref="P544:P549" ca="1" si="238">IF(M544&gt;0,N544*100/M544,0)</f>
        <v>71.729629132688302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402462</v>
      </c>
      <c r="M546" s="93">
        <f t="shared" ca="1" si="240"/>
        <v>402462</v>
      </c>
      <c r="N546" s="93">
        <f t="shared" si="240"/>
        <v>288684.5</v>
      </c>
      <c r="O546" s="93">
        <f t="shared" ca="1" si="237"/>
        <v>71.729629132688302</v>
      </c>
      <c r="P546" s="93">
        <f t="shared" ca="1" si="238"/>
        <v>71.729629132688302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402462</v>
      </c>
      <c r="M547" s="497">
        <f t="shared" ca="1" si="241"/>
        <v>402462</v>
      </c>
      <c r="N547" s="497">
        <f t="shared" si="241"/>
        <v>288684.5</v>
      </c>
      <c r="O547" s="497">
        <f t="shared" ca="1" si="237"/>
        <v>71.729629132688302</v>
      </c>
      <c r="P547" s="497">
        <f t="shared" ca="1" si="238"/>
        <v>71.729629132688302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IFERROR(__xludf.DUMMYFUNCTION("IMPORTRANGE(""https://docs.google.com/spreadsheets/d/1QqKyyYR6Q21VydFLVH3TRQUabQu_ym0Zz7PgGX0-kHA/edit?usp=sharing"",""แผน!HB45"")"),402462)</f>
        <v>402462</v>
      </c>
      <c r="M549" s="93">
        <f ca="1">L549</f>
        <v>402462</v>
      </c>
      <c r="N549" s="93">
        <f>N550+N551+N552+N553+N554</f>
        <v>288684.5</v>
      </c>
      <c r="O549" s="93">
        <f t="shared" ca="1" si="237"/>
        <v>71.729629132688302</v>
      </c>
      <c r="P549" s="93">
        <f t="shared" ca="1" si="238"/>
        <v>71.729629132688302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78000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210684.5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59640</v>
      </c>
      <c r="J559" s="706">
        <f t="shared" si="245"/>
        <v>59652.924999999996</v>
      </c>
      <c r="K559" s="675">
        <f t="shared" ref="K559:K561" ca="1" si="246">IF(I559&gt;0,J559*100/I559,0)</f>
        <v>100.02167169684775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IFERROR(__xludf.DUMMYFUNCTION("IMPORTRANGE(""https://docs.google.com/spreadsheets/d/1QqKyyYR6Q21VydFLVH3TRQUabQu_ym0Zz7PgGX0-kHA/edit?usp=sharing"",""แผน!HH45"")"),59640)</f>
        <v>59640</v>
      </c>
      <c r="J560" s="193">
        <f t="shared" ref="J560:J561" si="247">J562+J564+J566</f>
        <v>59639.479999999996</v>
      </c>
      <c r="K560" s="411">
        <f t="shared" ca="1" si="246"/>
        <v>99.999128101945004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IFERROR(__xludf.DUMMYFUNCTION("IMPORTRANGE(""https://docs.google.com/spreadsheets/d/1QqKyyYR6Q21VydFLVH3TRQUabQu_ym0Zz7PgGX0-kHA/edit?usp=sharing"",""แผน!HG45"")"),7355)</f>
        <v>7355</v>
      </c>
      <c r="J561" s="193">
        <f t="shared" si="247"/>
        <v>7355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49495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6495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8817.73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1326.75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163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IFERROR(__xludf.DUMMYFUNCTION("IMPORTRANGE(""https://docs.google.com/spreadsheets/d/1QqKyyYR6Q21VydFLVH3TRQUabQu_ym0Zz7PgGX0-kHA/edit?usp=sharing"",""แผน!HH45"")"),59640)</f>
        <v>59640</v>
      </c>
      <c r="J568" s="679">
        <f t="shared" ref="J568:J569" si="248">J570+J572+J574</f>
        <v>59652</v>
      </c>
      <c r="K568" s="411">
        <f t="shared" ref="K568:K569" ca="1" si="249">IF(I568&gt;0,J568*100/I568,0)</f>
        <v>100.02012072434607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IFERROR(__xludf.DUMMYFUNCTION("IMPORTRANGE(""https://docs.google.com/spreadsheets/d/1QqKyyYR6Q21VydFLVH3TRQUabQu_ym0Zz7PgGX0-kHA/edit?usp=sharing"",""แผน!HG45"")"),7355)</f>
        <v>7355</v>
      </c>
      <c r="J569" s="679">
        <f t="shared" si="248"/>
        <v>7355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49472.800000000003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6497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8852.5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695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1326.7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163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IFERROR(__xludf.DUMMYFUNCTION("IMPORTRANGE(""https://docs.google.com/spreadsheets/d/1QqKyyYR6Q21VydFLVH3TRQUabQu_ym0Zz7PgGX0-kHA/edit?usp=sharing"",""แผน!HH45"")"),59640)</f>
        <v>59640</v>
      </c>
      <c r="J576" s="679">
        <f t="shared" ref="J576:J577" si="250">J578+J580+J582+J588+J590</f>
        <v>59652.924999999996</v>
      </c>
      <c r="K576" s="411">
        <f t="shared" ref="K576:K577" ca="1" si="251">IF(I576&gt;0,J576*100/I576,0)</f>
        <v>100.02167169684775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IFERROR(__xludf.DUMMYFUNCTION("IMPORTRANGE(""https://docs.google.com/spreadsheets/d/1QqKyyYR6Q21VydFLVH3TRQUabQu_ym0Zz7PgGX0-kHA/edit?usp=sharing"",""แผน!HG45"")"),7355)</f>
        <v>7355</v>
      </c>
      <c r="J577" s="679">
        <f t="shared" si="250"/>
        <v>7355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49470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6490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8855.73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702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1327.1950000000002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163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1296.67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30.524999999999999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3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1220.5999999999999</v>
      </c>
      <c r="J592" s="706">
        <f t="shared" si="253"/>
        <v>1171</v>
      </c>
      <c r="K592" s="675">
        <f t="shared" ref="K592:K594" ca="1" si="254">IF(I592&gt;0,J592*100/I592,0)</f>
        <v>95.936424709159439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IFERROR(__xludf.DUMMYFUNCTION("IMPORTRANGE(""https://docs.google.com/spreadsheets/d/1QqKyyYR6Q21VydFLVH3TRQUabQu_ym0Zz7PgGX0-kHA/edit?usp=sharing"",""แผน!HJ45"")"),1220.6)</f>
        <v>1220.5999999999999</v>
      </c>
      <c r="J593" s="193">
        <f t="shared" ref="J593:J594" si="255">J595+J603+J609</f>
        <v>1171</v>
      </c>
      <c r="K593" s="411">
        <f t="shared" ca="1" si="254"/>
        <v>95.936424709159439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IFERROR(__xludf.DUMMYFUNCTION("IMPORTRANGE(""https://docs.google.com/spreadsheets/d/1QqKyyYR6Q21VydFLVH3TRQUabQu_ym0Zz7PgGX0-kHA/edit?usp=sharing"",""แผน!HI45"")"),107)</f>
        <v>107</v>
      </c>
      <c r="J594" s="193">
        <f t="shared" si="255"/>
        <v>103</v>
      </c>
      <c r="K594" s="411">
        <f t="shared" ca="1" si="254"/>
        <v>96.261682242990659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1151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100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895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84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256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16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20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20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IFERROR(__xludf.DUMMYFUNCTION("IMPORTRANGE(""https://docs.google.com/spreadsheets/d/1QqKyyYR6Q21VydFLVH3TRQUabQu_ym0Zz7PgGX0-kHA/edit?usp=sharing"",""แผน!HL45"")"),24)</f>
        <v>24</v>
      </c>
      <c r="J620" s="726">
        <f t="shared" ref="J620:J621" si="260">J622+J624+J626</f>
        <v>24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IFERROR(__xludf.DUMMYFUNCTION("IMPORTRANGE(""https://docs.google.com/spreadsheets/d/1QqKyyYR6Q21VydFLVH3TRQUabQu_ym0Zz7PgGX0-kHA/edit?usp=sharing"",""แผน!HK45"")"),1)</f>
        <v>1</v>
      </c>
      <c r="J621" s="726">
        <f t="shared" si="260"/>
        <v>1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24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45</v>
      </c>
      <c r="K628" s="740">
        <f ca="1">IF(I628&gt;0,J628*100/I628,0)</f>
        <v>3.75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1155630</v>
      </c>
      <c r="M629" s="195">
        <f t="shared" ca="1" si="263"/>
        <v>1155630</v>
      </c>
      <c r="N629" s="195">
        <f t="shared" si="263"/>
        <v>403982</v>
      </c>
      <c r="O629" s="195">
        <f t="shared" ref="O629:O634" ca="1" si="264">IF(L629&gt;0,N629*100/L629,0)</f>
        <v>34.957728684786652</v>
      </c>
      <c r="P629" s="195">
        <f t="shared" ref="P629:P634" ca="1" si="265">IF(M629&gt;0,N629*100/M629,0)</f>
        <v>34.957728684786652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1155630</v>
      </c>
      <c r="M631" s="93">
        <f t="shared" ca="1" si="266"/>
        <v>1155630</v>
      </c>
      <c r="N631" s="93">
        <f t="shared" si="266"/>
        <v>403982</v>
      </c>
      <c r="O631" s="93">
        <f t="shared" ca="1" si="264"/>
        <v>34.957728684786652</v>
      </c>
      <c r="P631" s="93">
        <f t="shared" ca="1" si="265"/>
        <v>34.957728684786652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1155630</v>
      </c>
      <c r="M632" s="497">
        <f t="shared" ca="1" si="267"/>
        <v>1155630</v>
      </c>
      <c r="N632" s="497">
        <f t="shared" si="267"/>
        <v>403982</v>
      </c>
      <c r="O632" s="497">
        <f t="shared" ca="1" si="264"/>
        <v>34.957728684786652</v>
      </c>
      <c r="P632" s="497">
        <f t="shared" ca="1" si="265"/>
        <v>34.957728684786652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IFERROR(__xludf.DUMMYFUNCTION("IMPORTRANGE(""https://docs.google.com/spreadsheets/d/1QqKyyYR6Q21VydFLVH3TRQUabQu_ym0Zz7PgGX0-kHA/edit?usp=sharing"",""แผน!HN45"")"),1155630)</f>
        <v>1155630</v>
      </c>
      <c r="M634" s="93">
        <f ca="1">L634</f>
        <v>1155630</v>
      </c>
      <c r="N634" s="93">
        <f>N635+N636+N637+N638</f>
        <v>403982</v>
      </c>
      <c r="O634" s="93">
        <f t="shared" ca="1" si="264"/>
        <v>34.957728684786652</v>
      </c>
      <c r="P634" s="93">
        <f t="shared" ca="1" si="265"/>
        <v>34.957728684786652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156000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247982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IFERROR(__xludf.DUMMYFUNCTION("IMPORTRANGE(""https://docs.google.com/spreadsheets/d/1XWAQStnk-4SwqDmLtmXYiTMKHgktTP8We1SCoS47DrQ/edit?usp=sharing"",""จัดที่ดิน!AS45"")"),852)</f>
        <v>852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IFERROR(__xludf.DUMMYFUNCTION("IMPORTRANGE(""https://docs.google.com/spreadsheets/d/1XWAQStnk-4SwqDmLtmXYiTMKHgktTP8We1SCoS47DrQ/edit?usp=sharing"",""จัดที่ดิน!AT45"")"),397.82)</f>
        <v>397.82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IFERROR(__xludf.DUMMYFUNCTION("IMPORTRANGE(""https://docs.google.com/spreadsheets/d/1QqKyyYR6Q21VydFLVH3TRQUabQu_ym0Zz7PgGX0-kHA/edit?usp=sharing"",""แผน!HS45"")"),1200)</f>
        <v>1200</v>
      </c>
      <c r="J647" s="270">
        <f ca="1">IFERROR(__xludf.DUMMYFUNCTION("IMPORTRANGE(""https://docs.google.com/spreadsheets/d/1XWAQStnk-4SwqDmLtmXYiTMKHgktTP8We1SCoS47DrQ/edit?usp=sharing"",""จัดที่ดิน!AU45"")"),528)</f>
        <v>528</v>
      </c>
      <c r="K647" s="163">
        <f t="shared" ca="1" si="271"/>
        <v>44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IFERROR(__xludf.DUMMYFUNCTION("IMPORTRANGE(""https://docs.google.com/spreadsheets/d/1XWAQStnk-4SwqDmLtmXYiTMKHgktTP8We1SCoS47DrQ/edit?usp=sharing"",""จัดที่ดิน!AV45"")"),251.19)</f>
        <v>251.19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IFERROR(__xludf.DUMMYFUNCTION("IMPORTRANGE(""https://docs.google.com/spreadsheets/d/1QqKyyYR6Q21VydFLVH3TRQUabQu_ym0Zz7PgGX0-kHA/edit?usp=sharing"",""แผน!HS45"")"),1200)</f>
        <v>1200</v>
      </c>
      <c r="J649" s="270">
        <f ca="1">IFERROR(__xludf.DUMMYFUNCTION("IMPORTRANGE(""https://docs.google.com/spreadsheets/d/1XWAQStnk-4SwqDmLtmXYiTMKHgktTP8We1SCoS47DrQ/edit?usp=sharing"",""จัดที่ดิน!AW45"")"),439)</f>
        <v>439</v>
      </c>
      <c r="K649" s="163">
        <f t="shared" ca="1" si="271"/>
        <v>36.583333333333336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IFERROR(__xludf.DUMMYFUNCTION("IMPORTRANGE(""https://docs.google.com/spreadsheets/d/1XWAQStnk-4SwqDmLtmXYiTMKHgktTP8We1SCoS47DrQ/edit?usp=sharing"",""จัดที่ดิน!AX45"")"),220)</f>
        <v>220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IFERROR(__xludf.DUMMYFUNCTION("IMPORTRANGE(""https://docs.google.com/spreadsheets/d/1QqKyyYR6Q21VydFLVH3TRQUabQu_ym0Zz7PgGX0-kHA/edit?usp=sharing"",""แผน!HS45"")"),1200)</f>
        <v>1200</v>
      </c>
      <c r="J651" s="270">
        <f ca="1">IFERROR(__xludf.DUMMYFUNCTION("IMPORTRANGE(""https://docs.google.com/spreadsheets/d/1XWAQStnk-4SwqDmLtmXYiTMKHgktTP8We1SCoS47DrQ/edit?usp=sharing"",""จัดที่ดิน!AY45"")"),45)</f>
        <v>45</v>
      </c>
      <c r="K651" s="163">
        <f t="shared" ca="1" si="271"/>
        <v>3.75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IFERROR(__xludf.DUMMYFUNCTION("IMPORTRANGE(""https://docs.google.com/spreadsheets/d/1XWAQStnk-4SwqDmLtmXYiTMKHgktTP8We1SCoS47DrQ/edit?usp=sharing"",""จัดที่ดิน!AZ45"")"),24.075)</f>
        <v>24.074999999999999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IFERROR(__xludf.DUMMYFUNCTION("IMPORTRANGE(""https://docs.google.com/spreadsheets/d/1QqKyyYR6Q21VydFLVH3TRQUabQu_ym0Zz7PgGX0-kHA/edit?usp=sharing"",""แผน!IA45"")"),0)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IFERROR(__xludf.DUMMYFUNCTION("IMPORTRANGE(""https://docs.google.com/spreadsheets/d/1QqKyyYR6Q21VydFLVH3TRQUabQu_ym0Zz7PgGX0-kHA/edit?usp=sharing"",""แผน!HZ45"")"),0)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IFERROR(__xludf.DUMMYFUNCTION("IMPORTRANGE(""https://docs.google.com/spreadsheets/d/1QqKyyYR6Q21VydFLVH3TRQUabQu_ym0Zz7PgGX0-kHA/edit?usp=sharing"",""แผน!HZ45"")"),0)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1940</v>
      </c>
      <c r="M685" s="195">
        <f t="shared" ca="1" si="282"/>
        <v>1940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1940</v>
      </c>
      <c r="M687" s="93">
        <f t="shared" ca="1" si="285"/>
        <v>1940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1940</v>
      </c>
      <c r="M688" s="497">
        <f t="shared" ca="1" si="286"/>
        <v>1940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IFERROR(__xludf.DUMMYFUNCTION("IMPORTRANGE(""https://docs.google.com/spreadsheets/d/1QqKyyYR6Q21VydFLVH3TRQUabQu_ym0Zz7PgGX0-kHA/edit?usp=sharing"",""แผน!HW45"")"),1940)</f>
        <v>1940</v>
      </c>
      <c r="M690" s="93">
        <f ca="1">L690</f>
        <v>1940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IFERROR(__xludf.DUMMYFUNCTION("IMPORTRANGE(""https://docs.google.com/spreadsheets/d/1QqKyyYR6Q21VydFLVH3TRQUabQu_ym0Zz7PgGX0-kHA/edit?usp=sharing"",""แผน!IC45"")"),0)</f>
        <v>0</v>
      </c>
      <c r="J699" s="270">
        <f ca="1">IFERROR(__xludf.DUMMYFUNCTION("IMPORTRANGE(""https://docs.google.com/spreadsheets/d/1XWAQStnk-4SwqDmLtmXYiTMKHgktTP8We1SCoS47DrQ/edit?usp=sharing"",""จัดที่ดิน!BB45"")"),0)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IFERROR(__xludf.DUMMYFUNCTION("IMPORTRANGE(""https://docs.google.com/spreadsheets/d/1QqKyyYR6Q21VydFLVH3TRQUabQu_ym0Zz7PgGX0-kHA/edit?usp=sharing"",""แผน!ID45"")"),0)</f>
        <v>0</v>
      </c>
      <c r="J700" s="270">
        <f ca="1">IFERROR(__xludf.DUMMYFUNCTION("IMPORTRANGE(""https://docs.google.com/spreadsheets/d/1XWAQStnk-4SwqDmLtmXYiTMKHgktTP8We1SCoS47DrQ/edit?usp=sharing"",""จัดที่ดิน!BD45"")"),0)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IFERROR(__xludf.DUMMYFUNCTION("IMPORTRANGE(""https://docs.google.com/spreadsheets/d/1QqKyyYR6Q21VydFLVH3TRQUabQu_ym0Zz7PgGX0-kHA/edit?usp=sharing"",""แผน!IE45"")"),47)</f>
        <v>47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IFERROR(__xludf.DUMMYFUNCTION("IMPORTRANGE(""https://docs.google.com/spreadsheets/d/1QqKyyYR6Q21VydFLVH3TRQUabQu_ym0Zz7PgGX0-kHA/edit?usp=sharing"",""แผน!IG45"")"),47)</f>
        <v>47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IFERROR(__xludf.DUMMYFUNCTION("IMPORTRANGE(""https://docs.google.com/spreadsheets/d/1QqKyyYR6Q21VydFLVH3TRQUabQu_ym0Zz7PgGX0-kHA/edit?usp=sharing"",""แผน!II45"")"),0)</f>
        <v>0</v>
      </c>
      <c r="J720" s="270">
        <f ca="1">IFERROR(__xludf.DUMMYFUNCTION("IMPORTRANGE(""https://docs.google.com/spreadsheets/d/1XWAQStnk-4SwqDmLtmXYiTMKHgktTP8We1SCoS47DrQ/edit?usp=sharing"",""จัดที่ดิน!BH45"")"),0)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IFERROR(__xludf.DUMMYFUNCTION("IMPORTRANGE(""https://docs.google.com/spreadsheets/d/1QqKyyYR6Q21VydFLVH3TRQUabQu_ym0Zz7PgGX0-kHA/edit?usp=sharing"",""แผน!IL45"")"),0)</f>
        <v>0</v>
      </c>
      <c r="J723" s="270">
        <f ca="1">IFERROR(__xludf.DUMMYFUNCTION("IMPORTRANGE(""https://docs.google.com/spreadsheets/d/1XWAQStnk-4SwqDmLtmXYiTMKHgktTP8We1SCoS47DrQ/edit?usp=sharing"",""จัดที่ดิน!BM45"")"),0)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IFERROR(__xludf.DUMMYFUNCTION("IMPORTRANGE(""https://docs.google.com/spreadsheets/d/1QqKyyYR6Q21VydFLVH3TRQUabQu_ym0Zz7PgGX0-kHA/edit?usp=sharing"",""แผน!IM45"")"),0)</f>
        <v>0</v>
      </c>
      <c r="J725" s="270">
        <f ca="1">IFERROR(__xludf.DUMMYFUNCTION("IMPORTRANGE(""https://docs.google.com/spreadsheets/d/1XWAQStnk-4SwqDmLtmXYiTMKHgktTP8We1SCoS47DrQ/edit?usp=sharing"",""จัดที่ดิน!BO45"")"),0)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IFERROR(__xludf.DUMMYFUNCTION("IMPORTRANGE(""https://docs.google.com/spreadsheets/d/1QqKyyYR6Q21VydFLVH3TRQUabQu_ym0Zz7PgGX0-kHA/edit?usp=sharing"",""แผน!IN45"")"),0)</f>
        <v>0</v>
      </c>
      <c r="J726" s="270">
        <f ca="1">IFERROR(__xludf.DUMMYFUNCTION("IMPORTRANGE(""https://docs.google.com/spreadsheets/d/1XWAQStnk-4SwqDmLtmXYiTMKHgktTP8We1SCoS47DrQ/edit?usp=sharing"",""จัดที่ดิน!BR45"")"),0)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IFERROR(__xludf.DUMMYFUNCTION("IMPORTRANGE(""https://docs.google.com/spreadsheets/d/1QqKyyYR6Q21VydFLVH3TRQUabQu_ym0Zz7PgGX0-kHA/edit?usp=sharing"",""แผน!IO45"")"),0)</f>
        <v>0</v>
      </c>
      <c r="J728" s="270">
        <f ca="1">IFERROR(__xludf.DUMMYFUNCTION("IMPORTRANGE(""https://docs.google.com/spreadsheets/d/1XWAQStnk-4SwqDmLtmXYiTMKHgktTP8We1SCoS47DrQ/edit?usp=sharing"",""จัดที่ดิน!BT45"")"),0)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3768</v>
      </c>
      <c r="K785" s="806">
        <f ca="1">IF(I785&gt;0,J785*100/I785,0)</f>
        <v>125.6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197920</v>
      </c>
      <c r="M786" s="195">
        <f t="shared" ca="1" si="319"/>
        <v>197920</v>
      </c>
      <c r="N786" s="195">
        <f t="shared" si="319"/>
        <v>174661.66</v>
      </c>
      <c r="O786" s="195">
        <f t="shared" ref="O786:O791" ca="1" si="320">IF(L786&gt;0,N786*100/L786,0)</f>
        <v>88.248615602263541</v>
      </c>
      <c r="P786" s="195">
        <f t="shared" ref="P786:P791" ca="1" si="321">IF(M786&gt;0,N786*100/M786,0)</f>
        <v>88.248615602263541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197920</v>
      </c>
      <c r="M788" s="93">
        <f t="shared" ca="1" si="322"/>
        <v>197920</v>
      </c>
      <c r="N788" s="93">
        <f t="shared" si="322"/>
        <v>174661.66</v>
      </c>
      <c r="O788" s="93">
        <f t="shared" ca="1" si="320"/>
        <v>88.248615602263541</v>
      </c>
      <c r="P788" s="93">
        <f t="shared" ca="1" si="321"/>
        <v>88.248615602263541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197920</v>
      </c>
      <c r="M789" s="497">
        <f t="shared" ca="1" si="323"/>
        <v>197920</v>
      </c>
      <c r="N789" s="497">
        <f t="shared" si="323"/>
        <v>174661.66</v>
      </c>
      <c r="O789" s="497">
        <f t="shared" ca="1" si="320"/>
        <v>88.248615602263541</v>
      </c>
      <c r="P789" s="497">
        <f t="shared" ca="1" si="321"/>
        <v>88.248615602263541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IFERROR(__xludf.DUMMYFUNCTION("IMPORTRANGE(""https://docs.google.com/spreadsheets/d/1QqKyyYR6Q21VydFLVH3TRQUabQu_ym0Zz7PgGX0-kHA/edit?usp=sharing"",""แผน!JJ45"")"),197920)</f>
        <v>197920</v>
      </c>
      <c r="M791" s="93">
        <f ca="1">L791</f>
        <v>197920</v>
      </c>
      <c r="N791" s="93">
        <f>N792+N793+N794+N795</f>
        <v>174661.66</v>
      </c>
      <c r="O791" s="93">
        <f t="shared" ca="1" si="320"/>
        <v>88.248615602263541</v>
      </c>
      <c r="P791" s="93">
        <f t="shared" ca="1" si="321"/>
        <v>88.248615602263541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42000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80166.649999999994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52495.01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IFERROR(__xludf.DUMMYFUNCTION("IMPORTRANGE(""https://docs.google.com/spreadsheets/d/1MaWodYyGHDf7siQLGxnXhG4mBNTNIuy296niS2xXulU/edit?usp=sharing"",""RTK!H45"")"),343)</f>
        <v>343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IFERROR(__xludf.DUMMYFUNCTION("IMPORTRANGE(""https://docs.google.com/spreadsheets/d/1MaWodYyGHDf7siQLGxnXhG4mBNTNIuy296niS2xXulU/edit?usp=sharing"",""RTK!G45"")"),3000)</f>
        <v>3000</v>
      </c>
      <c r="J801" s="820">
        <f ca="1">IFERROR(__xludf.DUMMYFUNCTION("IMPORTRANGE(""https://docs.google.com/spreadsheets/d/1MaWodYyGHDf7siQLGxnXhG4mBNTNIuy296niS2xXulU/edit?usp=sharing"",""RTK!I45"")"),3768)</f>
        <v>3768</v>
      </c>
      <c r="K801" s="821">
        <f ca="1">IF(I801&gt;0,J801*100/I801,0)</f>
        <v>125.6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IFERROR(__xludf.DUMMYFUNCTION("IMPORTRANGE(""https://docs.google.com/spreadsheets/d/1MaWodYyGHDf7siQLGxnXhG4mBNTNIuy296niS2xXulU/edit?usp=sharing"",""RTK!L45"")"),0)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IFERROR(__xludf.DUMMYFUNCTION("IMPORTRANGE(""https://docs.google.com/spreadsheets/d/1MaWodYyGHDf7siQLGxnXhG4mBNTNIuy296niS2xXulU/edit?usp=sharing"",""RTK!K45"")"),0)</f>
        <v>0</v>
      </c>
      <c r="J803" s="820">
        <f ca="1">IFERROR(__xludf.DUMMYFUNCTION("IMPORTRANGE(""https://docs.google.com/spreadsheets/d/1MaWodYyGHDf7siQLGxnXhG4mBNTNIuy296niS2xXulU/edit?usp=sharing"",""RTK!M45"")"),0)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270">
        <f ca="1">IFERROR(__xludf.DUMMYFUNCTION("IMPORTRANGE(""https://docs.google.com/spreadsheets/d/19vJNZY_5yjcGF2XGBMNZRCAIB0Kwfpjp8YEOfu-bneM/edit?usp=sharing"",""งานกองทุน!F45"")"),3159789.01)</f>
        <v>3159789.01</v>
      </c>
      <c r="K821" s="497">
        <f t="shared" ref="K821:K828" ca="1" si="336">IF(I821&gt;0,J821*100/I821,0)</f>
        <v>35.204968029882757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IFERROR(__xludf.DUMMYFUNCTION("IMPORTRANGE(""https://docs.google.com/spreadsheets/d/19vJNZY_5yjcGF2XGBMNZRCAIB0Kwfpjp8YEOfu-bneM/edit?usp=sharing"",""งานกองทุน!C45"")"),724)</f>
        <v>724</v>
      </c>
      <c r="J822" s="270">
        <f ca="1">IFERROR(__xludf.DUMMYFUNCTION("IMPORTRANGE(""https://docs.google.com/spreadsheets/d/19vJNZY_5yjcGF2XGBMNZRCAIB0Kwfpjp8YEOfu-bneM/edit?usp=sharing"",""งานกองทุน!E45"")"),249)</f>
        <v>249</v>
      </c>
      <c r="K822" s="497">
        <f t="shared" ca="1" si="336"/>
        <v>34.392265193370164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270">
        <f ca="1">IFERROR(__xludf.DUMMYFUNCTION("IMPORTRANGE(""https://docs.google.com/spreadsheets/d/19vJNZY_5yjcGF2XGBMNZRCAIB0Kwfpjp8YEOfu-bneM/edit?usp=sharing"",""งานกองทุน!K45"")"),881982.72)</f>
        <v>881982.72</v>
      </c>
      <c r="K823" s="497">
        <f t="shared" ca="1" si="336"/>
        <v>19.544202539697004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IFERROR(__xludf.DUMMYFUNCTION("IMPORTRANGE(""https://docs.google.com/spreadsheets/d/19vJNZY_5yjcGF2XGBMNZRCAIB0Kwfpjp8YEOfu-bneM/edit?usp=sharing"",""งานกองทุน!H45"")"),223)</f>
        <v>223</v>
      </c>
      <c r="J824" s="270">
        <f ca="1">IFERROR(__xludf.DUMMYFUNCTION("IMPORTRANGE(""https://docs.google.com/spreadsheets/d/19vJNZY_5yjcGF2XGBMNZRCAIB0Kwfpjp8YEOfu-bneM/edit?usp=sharing"",""งานกองทุน!J45"")"),99)</f>
        <v>99</v>
      </c>
      <c r="K824" s="497">
        <f t="shared" ca="1" si="336"/>
        <v>44.394618834080717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IFERROR(__xludf.DUMMYFUNCTION("IMPORTRANGE(""https://docs.google.com/spreadsheets/d/19vJNZY_5yjcGF2XGBMNZRCAIB0Kwfpjp8YEOfu-bneM/edit?usp=sharing"",""งานกองทุน!N45"")"),0)</f>
        <v>0</v>
      </c>
      <c r="J825" s="270">
        <f ca="1">IFERROR(__xludf.DUMMYFUNCTION("IMPORTRANGE(""https://docs.google.com/spreadsheets/d/19vJNZY_5yjcGF2XGBMNZRCAIB0Kwfpjp8YEOfu-bneM/edit?usp=sharing"",""งานกองทุน!P45"")"),0)</f>
        <v>0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IFERROR(__xludf.DUMMYFUNCTION("IMPORTRANGE(""https://docs.google.com/spreadsheets/d/19vJNZY_5yjcGF2XGBMNZRCAIB0Kwfpjp8YEOfu-bneM/edit?usp=sharing"",""งานกองทุน!M45"")"),0)</f>
        <v>0</v>
      </c>
      <c r="J826" s="270">
        <f ca="1">IFERROR(__xludf.DUMMYFUNCTION("IMPORTRANGE(""https://docs.google.com/spreadsheets/d/19vJNZY_5yjcGF2XGBMNZRCAIB0Kwfpjp8YEOfu-bneM/edit?usp=sharing"",""งานกองทุน!O45"")"),0)</f>
        <v>0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IFERROR(__xludf.DUMMYFUNCTION("IMPORTRANGE(""https://docs.google.com/spreadsheets/d/19vJNZY_5yjcGF2XGBMNZRCAIB0Kwfpjp8YEOfu-bneM/edit?usp=sharing"",""งานกองทุน!S45"")"),8000000)</f>
        <v>8000000</v>
      </c>
      <c r="J827" s="270">
        <f ca="1">IFERROR(__xludf.DUMMYFUNCTION("IMPORTRANGE(""https://docs.google.com/spreadsheets/d/19vJNZY_5yjcGF2XGBMNZRCAIB0Kwfpjp8YEOfu-bneM/edit?usp=sharing"",""งานกองทุน!U45"")"),3930000)</f>
        <v>3930000</v>
      </c>
      <c r="K827" s="497">
        <f t="shared" ca="1" si="336"/>
        <v>49.125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IFERROR(__xludf.DUMMYFUNCTION("IMPORTRANGE(""https://docs.google.com/spreadsheets/d/19vJNZY_5yjcGF2XGBMNZRCAIB0Kwfpjp8YEOfu-bneM/edit?usp=sharing"",""งานกองทุน!R45"")"),233)</f>
        <v>233</v>
      </c>
      <c r="J828" s="504">
        <f ca="1">IFERROR(__xludf.DUMMYFUNCTION("IMPORTRANGE(""https://docs.google.com/spreadsheets/d/19vJNZY_5yjcGF2XGBMNZRCAIB0Kwfpjp8YEOfu-bneM/edit?usp=sharing"",""งานกองทุน!T45"")"),93)</f>
        <v>93</v>
      </c>
      <c r="K828" s="505">
        <f t="shared" ca="1" si="336"/>
        <v>39.914163090128753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3113-4E26-41DF-B8BF-249DDB0B4EA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7.85546875" bestFit="1" customWidth="1"/>
    <col min="10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352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7685915</v>
      </c>
      <c r="M8" s="22">
        <f t="shared" ca="1" si="0"/>
        <v>6966081.8200000003</v>
      </c>
      <c r="N8" s="22">
        <f t="shared" ca="1" si="0"/>
        <v>5094203.8599999994</v>
      </c>
      <c r="O8" s="22">
        <f t="shared" ref="O8:O16" ca="1" si="1">IF(L8&gt;0,N8*100/L8,0)</f>
        <v>66.279731951238062</v>
      </c>
      <c r="P8" s="22">
        <f t="shared" ref="P8:P16" ca="1" si="2">IF(M8&gt;0,N8*100/M8,0)</f>
        <v>73.128682545391044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7685915</v>
      </c>
      <c r="M10" s="30">
        <f t="shared" ca="1" si="3"/>
        <v>6966081.8200000003</v>
      </c>
      <c r="N10" s="30">
        <f t="shared" ca="1" si="3"/>
        <v>5094203.8599999994</v>
      </c>
      <c r="O10" s="30">
        <f t="shared" ca="1" si="1"/>
        <v>66.279731951238062</v>
      </c>
      <c r="P10" s="30">
        <f t="shared" ca="1" si="2"/>
        <v>73.128682545391044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7468815</v>
      </c>
      <c r="M11" s="497">
        <f t="shared" ca="1" si="4"/>
        <v>6751361.8200000003</v>
      </c>
      <c r="N11" s="497">
        <f t="shared" ca="1" si="4"/>
        <v>4879483.8599999994</v>
      </c>
      <c r="O11" s="497">
        <f t="shared" ca="1" si="1"/>
        <v>65.331432897989828</v>
      </c>
      <c r="P11" s="497">
        <f t="shared" ca="1" si="2"/>
        <v>72.274068404172709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7468815</v>
      </c>
      <c r="M13" s="93">
        <f t="shared" ca="1" si="5"/>
        <v>6751361.8200000003</v>
      </c>
      <c r="N13" s="93">
        <f t="shared" ca="1" si="5"/>
        <v>4879483.8599999994</v>
      </c>
      <c r="O13" s="93">
        <f t="shared" ca="1" si="1"/>
        <v>65.331432897989828</v>
      </c>
      <c r="P13" s="93">
        <f t="shared" ca="1" si="2"/>
        <v>72.274068404172709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217100</v>
      </c>
      <c r="M14" s="497">
        <f t="shared" ca="1" si="6"/>
        <v>214720</v>
      </c>
      <c r="N14" s="497">
        <f t="shared" ca="1" si="6"/>
        <v>214720</v>
      </c>
      <c r="O14" s="497">
        <f t="shared" ca="1" si="1"/>
        <v>98.903730999539377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217100</v>
      </c>
      <c r="M16" s="52">
        <f t="shared" ca="1" si="7"/>
        <v>214720</v>
      </c>
      <c r="N16" s="52">
        <f t="shared" ca="1" si="7"/>
        <v>214720</v>
      </c>
      <c r="O16" s="52">
        <f t="shared" ca="1" si="1"/>
        <v>98.903730999539377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4461937</v>
      </c>
      <c r="M18" s="22">
        <f t="shared" ca="1" si="8"/>
        <v>3742103.8200000003</v>
      </c>
      <c r="N18" s="22">
        <f t="shared" ca="1" si="8"/>
        <v>2871093.06</v>
      </c>
      <c r="O18" s="22">
        <f t="shared" ref="O18:O26" ca="1" si="9">IF(L18&gt;0,N18*100/L18,0)</f>
        <v>64.346337924538162</v>
      </c>
      <c r="P18" s="22">
        <f t="shared" ref="P18:P26" ca="1" si="10">IF(M18&gt;0,N18*100/M18,0)</f>
        <v>76.724035411716599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4461937</v>
      </c>
      <c r="M20" s="30">
        <f t="shared" ca="1" si="11"/>
        <v>3742103.8200000003</v>
      </c>
      <c r="N20" s="30">
        <f t="shared" ca="1" si="11"/>
        <v>2871093.06</v>
      </c>
      <c r="O20" s="30">
        <f t="shared" ca="1" si="9"/>
        <v>64.346337924538162</v>
      </c>
      <c r="P20" s="30">
        <f t="shared" ca="1" si="10"/>
        <v>76.724035411716599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4244837</v>
      </c>
      <c r="M21" s="497">
        <f t="shared" ca="1" si="12"/>
        <v>3527383.8200000003</v>
      </c>
      <c r="N21" s="497">
        <f t="shared" ca="1" si="12"/>
        <v>2656373.06</v>
      </c>
      <c r="O21" s="497">
        <f t="shared" ca="1" si="9"/>
        <v>62.578917871286933</v>
      </c>
      <c r="P21" s="497">
        <f t="shared" ca="1" si="10"/>
        <v>75.307173688855883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4244837</v>
      </c>
      <c r="M23" s="93">
        <f t="shared" ca="1" si="13"/>
        <v>3527383.8200000003</v>
      </c>
      <c r="N23" s="93">
        <f t="shared" ca="1" si="13"/>
        <v>2656373.06</v>
      </c>
      <c r="O23" s="93">
        <f t="shared" ca="1" si="9"/>
        <v>62.578917871286933</v>
      </c>
      <c r="P23" s="93">
        <f t="shared" ca="1" si="10"/>
        <v>75.307173688855883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217100</v>
      </c>
      <c r="M24" s="497">
        <f t="shared" ca="1" si="14"/>
        <v>214720</v>
      </c>
      <c r="N24" s="497">
        <f t="shared" ca="1" si="14"/>
        <v>214720</v>
      </c>
      <c r="O24" s="497">
        <f t="shared" ca="1" si="9"/>
        <v>98.903730999539377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217100</v>
      </c>
      <c r="M26" s="52">
        <f t="shared" ca="1" si="15"/>
        <v>214720</v>
      </c>
      <c r="N26" s="52">
        <f t="shared" ca="1" si="15"/>
        <v>214720</v>
      </c>
      <c r="O26" s="52">
        <f t="shared" ca="1" si="9"/>
        <v>98.903730999539377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3223978</v>
      </c>
      <c r="M28" s="22">
        <f t="shared" ca="1" si="16"/>
        <v>3223978</v>
      </c>
      <c r="N28" s="22">
        <f t="shared" si="16"/>
        <v>2223110.7999999998</v>
      </c>
      <c r="O28" s="22">
        <f t="shared" ref="O28:O37" ca="1" si="17">IF(L28&gt;0,N28*100/L28,0)</f>
        <v>68.955520167941586</v>
      </c>
      <c r="P28" s="22">
        <f t="shared" ref="P28:P37" ca="1" si="18">IF(M28&gt;0,N28*100/M28,0)</f>
        <v>68.955520167941586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3223978</v>
      </c>
      <c r="M30" s="30">
        <f t="shared" ca="1" si="19"/>
        <v>3223978</v>
      </c>
      <c r="N30" s="30">
        <f t="shared" si="19"/>
        <v>2223110.7999999998</v>
      </c>
      <c r="O30" s="30">
        <f t="shared" ca="1" si="17"/>
        <v>68.955520167941586</v>
      </c>
      <c r="P30" s="30">
        <f t="shared" ca="1" si="18"/>
        <v>68.955520167941586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3223978</v>
      </c>
      <c r="M31" s="497">
        <f t="shared" ca="1" si="20"/>
        <v>3223978</v>
      </c>
      <c r="N31" s="497">
        <f t="shared" si="20"/>
        <v>2223110.7999999998</v>
      </c>
      <c r="O31" s="497">
        <f t="shared" ca="1" si="17"/>
        <v>68.955520167941586</v>
      </c>
      <c r="P31" s="497">
        <f t="shared" ca="1" si="18"/>
        <v>68.955520167941586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3223978</v>
      </c>
      <c r="M33" s="93">
        <f t="shared" ca="1" si="21"/>
        <v>3223978</v>
      </c>
      <c r="N33" s="93">
        <f t="shared" si="21"/>
        <v>2223110.7999999998</v>
      </c>
      <c r="O33" s="93">
        <f t="shared" ca="1" si="17"/>
        <v>68.955520167941586</v>
      </c>
      <c r="P33" s="93">
        <f t="shared" ca="1" si="18"/>
        <v>68.955520167941586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4461937</v>
      </c>
      <c r="M37" s="870">
        <f t="shared" ca="1" si="24"/>
        <v>3742103.8200000003</v>
      </c>
      <c r="N37" s="870">
        <f t="shared" ca="1" si="24"/>
        <v>2871093.06</v>
      </c>
      <c r="O37" s="870">
        <f t="shared" ca="1" si="17"/>
        <v>64.346337924538162</v>
      </c>
      <c r="P37" s="870">
        <f t="shared" ca="1" si="18"/>
        <v>76.724035411716599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432342</v>
      </c>
      <c r="M41" s="85">
        <f t="shared" ca="1" si="25"/>
        <v>453242.82</v>
      </c>
      <c r="N41" s="85">
        <f t="shared" ca="1" si="25"/>
        <v>314290.26</v>
      </c>
      <c r="O41" s="85">
        <f t="shared" ref="O41:O49" ca="1" si="26">IF(L41&gt;0,N41*100/L41,0)</f>
        <v>72.694824930263536</v>
      </c>
      <c r="P41" s="85">
        <f t="shared" ref="P41:P49" ca="1" si="27">IF(M41&gt;0,N41*100/M41,0)</f>
        <v>69.34257888519889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432342</v>
      </c>
      <c r="M43" s="92">
        <f t="shared" ca="1" si="28"/>
        <v>453242.82</v>
      </c>
      <c r="N43" s="92">
        <f t="shared" ca="1" si="28"/>
        <v>314290.26</v>
      </c>
      <c r="O43" s="92">
        <f t="shared" ca="1" si="26"/>
        <v>72.694824930263536</v>
      </c>
      <c r="P43" s="92">
        <f t="shared" ca="1" si="27"/>
        <v>69.34257888519889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432342</v>
      </c>
      <c r="M44" s="497">
        <f t="shared" ca="1" si="29"/>
        <v>453242.82</v>
      </c>
      <c r="N44" s="497">
        <f t="shared" ca="1" si="29"/>
        <v>314290.26</v>
      </c>
      <c r="O44" s="497">
        <f t="shared" ca="1" si="26"/>
        <v>72.694824930263536</v>
      </c>
      <c r="P44" s="497">
        <f t="shared" ca="1" si="27"/>
        <v>69.34257888519889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IFERROR(__xludf.DUMMYFUNCTION("IMPORTRANGE(""https://docs.google.com/spreadsheets/d/1MeEWN-I1oV_STSDYn1IFDPWt_1FKiwhDph83XaGc0o0/edit?usp=sharing"",""งบพรบ!M46"")"),432342)</f>
        <v>432342</v>
      </c>
      <c r="M46" s="93">
        <f ca="1">IFERROR(__xludf.DUMMYFUNCTION("IMPORTRANGE(""https://docs.google.com/spreadsheets/d/1MeEWN-I1oV_STSDYn1IFDPWt_1FKiwhDph83XaGc0o0/edit?usp=sharing"",""งบพรบ!R46"")"),453242.82)</f>
        <v>453242.82</v>
      </c>
      <c r="N46" s="93">
        <f ca="1">IFERROR(__xludf.DUMMYFUNCTION("IMPORTRANGE(""https://docs.google.com/spreadsheets/d/1MeEWN-I1oV_STSDYn1IFDPWt_1FKiwhDph83XaGc0o0/edit?usp=sharing"",""งบพรบ!T46"")"),314290.26)</f>
        <v>314290.26</v>
      </c>
      <c r="O46" s="93">
        <f t="shared" ca="1" si="26"/>
        <v>72.694824930263536</v>
      </c>
      <c r="P46" s="93">
        <f t="shared" ca="1" si="27"/>
        <v>69.34257888519889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IFERROR(__xludf.DUMMYFUNCTION("IMPORTRANGE(""https://docs.google.com/spreadsheets/d/1MeEWN-I1oV_STSDYn1IFDPWt_1FKiwhDph83XaGc0o0/edit?usp=sharing"",""งบพรบ!P46"")"),0)</f>
        <v>0</v>
      </c>
      <c r="M49" s="52">
        <f ca="1">IFERROR(__xludf.DUMMYFUNCTION("IMPORTRANGE(""https://docs.google.com/spreadsheets/d/1MeEWN-I1oV_STSDYn1IFDPWt_1FKiwhDph83XaGc0o0/edit?usp=sharing"",""งบพรบ!S46"")"),0)</f>
        <v>0</v>
      </c>
      <c r="N49" s="52">
        <f ca="1">IFERROR(__xludf.DUMMYFUNCTION("IMPORTRANGE(""https://docs.google.com/spreadsheets/d/1MeEWN-I1oV_STSDYn1IFDPWt_1FKiwhDph83XaGc0o0/edit?usp=sharing"",""งบพรบ!U46"")"),0)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825900</v>
      </c>
      <c r="M53" s="116">
        <f t="shared" ca="1" si="31"/>
        <v>688320</v>
      </c>
      <c r="N53" s="116">
        <f t="shared" ca="1" si="31"/>
        <v>593665.05000000005</v>
      </c>
      <c r="O53" s="116">
        <f t="shared" ref="O53:O61" ca="1" si="32">IF(L53&gt;0,N53*100/L53,0)</f>
        <v>71.880984380675642</v>
      </c>
      <c r="P53" s="116">
        <f t="shared" ref="P53:P61" ca="1" si="33">IF(M53&gt;0,N53*100/M53,0)</f>
        <v>86.248409170153423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825900</v>
      </c>
      <c r="M55" s="123">
        <f t="shared" ca="1" si="34"/>
        <v>688320</v>
      </c>
      <c r="N55" s="123">
        <f t="shared" ca="1" si="34"/>
        <v>593665.05000000005</v>
      </c>
      <c r="O55" s="123">
        <f t="shared" ca="1" si="32"/>
        <v>71.880984380675642</v>
      </c>
      <c r="P55" s="123">
        <f t="shared" ca="1" si="33"/>
        <v>86.248409170153423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776000</v>
      </c>
      <c r="M56" s="497">
        <f t="shared" ca="1" si="35"/>
        <v>638620</v>
      </c>
      <c r="N56" s="497">
        <f t="shared" ca="1" si="35"/>
        <v>543965.05000000005</v>
      </c>
      <c r="O56" s="497">
        <f t="shared" ca="1" si="32"/>
        <v>70.098588917525788</v>
      </c>
      <c r="P56" s="497">
        <f t="shared" ca="1" si="33"/>
        <v>85.178204566095658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IFERROR(__xludf.DUMMYFUNCTION("IMPORTRANGE(""https://docs.google.com/spreadsheets/d/1MeEWN-I1oV_STSDYn1IFDPWt_1FKiwhDph83XaGc0o0/edit?usp=sharing"",""งบพรบ!W46"")"),776000)</f>
        <v>776000</v>
      </c>
      <c r="M58" s="93">
        <f ca="1">IFERROR(__xludf.DUMMYFUNCTION("IMPORTRANGE(""https://docs.google.com/spreadsheets/d/1MeEWN-I1oV_STSDYn1IFDPWt_1FKiwhDph83XaGc0o0/edit?usp=sharing"",""งบพรบ!AB46"")"),638620)</f>
        <v>638620</v>
      </c>
      <c r="N58" s="93">
        <f ca="1">IFERROR(__xludf.DUMMYFUNCTION("IMPORTRANGE(""https://docs.google.com/spreadsheets/d/1MeEWN-I1oV_STSDYn1IFDPWt_1FKiwhDph83XaGc0o0/edit?usp=sharing"",""งบพรบ!AD46"")"),543965.05)</f>
        <v>543965.05000000005</v>
      </c>
      <c r="O58" s="93">
        <f t="shared" ca="1" si="32"/>
        <v>70.098588917525788</v>
      </c>
      <c r="P58" s="93">
        <f t="shared" ca="1" si="33"/>
        <v>85.178204566095658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49900</v>
      </c>
      <c r="M59" s="497">
        <f t="shared" ca="1" si="36"/>
        <v>49700</v>
      </c>
      <c r="N59" s="497">
        <f t="shared" ca="1" si="36"/>
        <v>49700</v>
      </c>
      <c r="O59" s="497">
        <f t="shared" ca="1" si="32"/>
        <v>99.599198396793582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IFERROR(__xludf.DUMMYFUNCTION("IMPORTRANGE(""https://docs.google.com/spreadsheets/d/1MeEWN-I1oV_STSDYn1IFDPWt_1FKiwhDph83XaGc0o0/edit?usp=sharing"",""งบพรบ!Z46"")"),49900)</f>
        <v>49900</v>
      </c>
      <c r="M61" s="52">
        <f ca="1">IFERROR(__xludf.DUMMYFUNCTION("IMPORTRANGE(""https://docs.google.com/spreadsheets/d/1MeEWN-I1oV_STSDYn1IFDPWt_1FKiwhDph83XaGc0o0/edit?usp=sharing"",""งบพรบ!AC46"")"),49700)</f>
        <v>49700</v>
      </c>
      <c r="N61" s="52">
        <f ca="1">IFERROR(__xludf.DUMMYFUNCTION("IMPORTRANGE(""https://docs.google.com/spreadsheets/d/1MeEWN-I1oV_STSDYn1IFDPWt_1FKiwhDph83XaGc0o0/edit?usp=sharing"",""งบพรบ!AE46"")"),49700)</f>
        <v>49700</v>
      </c>
      <c r="O61" s="52">
        <f t="shared" ca="1" si="32"/>
        <v>99.599198396793582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IFERROR(__xludf.DUMMYFUNCTION("IMPORTRANGE(""https://docs.google.com/spreadsheets/d/1MeEWN-I1oV_STSDYn1IFDPWt_1FKiwhDph83XaGc0o0/edit?usp=sharing"",""งบพรบ!AG46"")"),0)</f>
        <v>0</v>
      </c>
      <c r="M71" s="93">
        <f ca="1">IFERROR(__xludf.DUMMYFUNCTION("IMPORTRANGE(""https://docs.google.com/spreadsheets/d/1MeEWN-I1oV_STSDYn1IFDPWt_1FKiwhDph83XaGc0o0/edit?usp=sharing"",""งบพรบ!AL46"")"),0)</f>
        <v>0</v>
      </c>
      <c r="N71" s="93">
        <f ca="1">IFERROR(__xludf.DUMMYFUNCTION("IMPORTRANGE(""https://docs.google.com/spreadsheets/d/1MeEWN-I1oV_STSDYn1IFDPWt_1FKiwhDph83XaGc0o0/edit?usp=sharing"",""งบพรบ!AN46"")"),0)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IFERROR(__xludf.DUMMYFUNCTION("IMPORTRANGE(""https://docs.google.com/spreadsheets/d/1MeEWN-I1oV_STSDYn1IFDPWt_1FKiwhDph83XaGc0o0/edit?usp=sharing"",""งบพรบ!AJ46"")"),0)</f>
        <v>0</v>
      </c>
      <c r="M74" s="93">
        <f ca="1">IFERROR(__xludf.DUMMYFUNCTION("IMPORTRANGE(""https://docs.google.com/spreadsheets/d/1MeEWN-I1oV_STSDYn1IFDPWt_1FKiwhDph83XaGc0o0/edit?usp=sharing"",""งบพรบ!AM46"")"),0)</f>
        <v>0</v>
      </c>
      <c r="N74" s="93">
        <f ca="1">IFERROR(__xludf.DUMMYFUNCTION("IMPORTRANGE(""https://docs.google.com/spreadsheets/d/1MeEWN-I1oV_STSDYn1IFDPWt_1FKiwhDph83XaGc0o0/edit?usp=sharing"",""งบพรบ!AO46"")"),0)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62810</v>
      </c>
      <c r="N88" s="155">
        <f t="shared" ca="1" si="49"/>
        <v>54910</v>
      </c>
      <c r="O88" s="155">
        <f t="shared" ref="O88:O96" ca="1" si="50">IF(L88&gt;0,N88*100/L88,0)</f>
        <v>55.599432968813282</v>
      </c>
      <c r="P88" s="155">
        <f t="shared" ref="P88:P96" ca="1" si="51">IF(M88&gt;0,N88*100/M88,0)</f>
        <v>87.422384970546091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98760</v>
      </c>
      <c r="M90" s="93">
        <f t="shared" ca="1" si="52"/>
        <v>62810</v>
      </c>
      <c r="N90" s="93">
        <f t="shared" ca="1" si="52"/>
        <v>54910</v>
      </c>
      <c r="O90" s="93">
        <f t="shared" ca="1" si="50"/>
        <v>55.599432968813282</v>
      </c>
      <c r="P90" s="93">
        <f t="shared" ca="1" si="51"/>
        <v>87.422384970546091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62810</v>
      </c>
      <c r="N91" s="497">
        <f t="shared" ca="1" si="53"/>
        <v>54910</v>
      </c>
      <c r="O91" s="497">
        <f t="shared" ca="1" si="50"/>
        <v>55.599432968813282</v>
      </c>
      <c r="P91" s="497">
        <f t="shared" ca="1" si="51"/>
        <v>87.422384970546091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IFERROR(__xludf.DUMMYFUNCTION("IMPORTRANGE(""https://docs.google.com/spreadsheets/d/1MeEWN-I1oV_STSDYn1IFDPWt_1FKiwhDph83XaGc0o0/edit?usp=sharing"",""งบพรบ!AQ46"")"),98760)</f>
        <v>98760</v>
      </c>
      <c r="M93" s="93">
        <f ca="1">IFERROR(__xludf.DUMMYFUNCTION("IMPORTRANGE(""https://docs.google.com/spreadsheets/d/1MeEWN-I1oV_STSDYn1IFDPWt_1FKiwhDph83XaGc0o0/edit?usp=sharing"",""งบพรบ!AV46"")"),62810)</f>
        <v>62810</v>
      </c>
      <c r="N93" s="93">
        <f ca="1">IFERROR(__xludf.DUMMYFUNCTION("IMPORTRANGE(""https://docs.google.com/spreadsheets/d/1MeEWN-I1oV_STSDYn1IFDPWt_1FKiwhDph83XaGc0o0/edit?usp=sharing"",""งบพรบ!AX46"")"),54910)</f>
        <v>54910</v>
      </c>
      <c r="O93" s="93">
        <f t="shared" ca="1" si="50"/>
        <v>55.599432968813282</v>
      </c>
      <c r="P93" s="93">
        <f t="shared" ca="1" si="51"/>
        <v>87.422384970546091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IFERROR(__xludf.DUMMYFUNCTION("IMPORTRANGE(""https://docs.google.com/spreadsheets/d/1MeEWN-I1oV_STSDYn1IFDPWt_1FKiwhDph83XaGc0o0/edit?usp=sharing"",""งบพรบ!AT46"")"),0)</f>
        <v>0</v>
      </c>
      <c r="M96" s="93">
        <f ca="1">IFERROR(__xludf.DUMMYFUNCTION("IMPORTRANGE(""https://docs.google.com/spreadsheets/d/1MeEWN-I1oV_STSDYn1IFDPWt_1FKiwhDph83XaGc0o0/edit?usp=sharing"",""งบพรบ!AW46"")"),0)</f>
        <v>0</v>
      </c>
      <c r="N96" s="93">
        <f ca="1">IFERROR(__xludf.DUMMYFUNCTION("IMPORTRANGE(""https://docs.google.com/spreadsheets/d/1MeEWN-I1oV_STSDYn1IFDPWt_1FKiwhDph83XaGc0o0/edit?usp=sharing"",""งบพรบ!AY46"")"),0)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IFERROR(__xludf.DUMMYFUNCTION("IMPORTRANGE(""https://docs.google.com/spreadsheets/d/1QqKyyYR6Q21VydFLVH3TRQUabQu_ym0Zz7PgGX0-kHA/edit?usp=sharing"",""แผน!M46"")"),2)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IFERROR(__xludf.DUMMYFUNCTION("IMPORTRANGE(""https://docs.google.com/spreadsheets/d/1QqKyyYR6Q21VydFLVH3TRQUabQu_ym0Zz7PgGX0-kHA/edit?usp=sharing"",""แผน!Q46"")"),1)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IFERROR(__xludf.DUMMYFUNCTION("IMPORTRANGE(""https://docs.google.com/spreadsheets/d/1QqKyyYR6Q21VydFLVH3TRQUabQu_ym0Zz7PgGX0-kHA/edit?usp=sharing"",""แผน!Q46"")"),1)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IFERROR(__xludf.DUMMYFUNCTION("IMPORTRANGE(""https://docs.google.com/spreadsheets/d/1QqKyyYR6Q21VydFLVH3TRQUabQu_ym0Zz7PgGX0-kHA/edit?usp=sharing"",""แผน!R46"")"),15)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IFERROR(__xludf.DUMMYFUNCTION("IMPORTRANGE(""https://docs.google.com/spreadsheets/d/1MeEWN-I1oV_STSDYn1IFDPWt_1FKiwhDph83XaGc0o0/edit?usp=sharing"",""งบพรบ!BA46"")"),0)</f>
        <v>0</v>
      </c>
      <c r="M124" s="93">
        <f ca="1">IFERROR(__xludf.DUMMYFUNCTION("IMPORTRANGE(""https://docs.google.com/spreadsheets/d/1MeEWN-I1oV_STSDYn1IFDPWt_1FKiwhDph83XaGc0o0/edit?usp=sharing"",""งบพรบ!BF46"")"),0)</f>
        <v>0</v>
      </c>
      <c r="N124" s="93">
        <f ca="1">IFERROR(__xludf.DUMMYFUNCTION("IMPORTRANGE(""https://docs.google.com/spreadsheets/d/1MeEWN-I1oV_STSDYn1IFDPWt_1FKiwhDph83XaGc0o0/edit?usp=sharing"",""งบพรบ!BH46"")"),0)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IFERROR(__xludf.DUMMYFUNCTION("IMPORTRANGE(""https://docs.google.com/spreadsheets/d/1MeEWN-I1oV_STSDYn1IFDPWt_1FKiwhDph83XaGc0o0/edit?usp=sharing"",""งบพรบ!BD46"")"),0)</f>
        <v>0</v>
      </c>
      <c r="M127" s="93">
        <f ca="1">IFERROR(__xludf.DUMMYFUNCTION("IMPORTRANGE(""https://docs.google.com/spreadsheets/d/1MeEWN-I1oV_STSDYn1IFDPWt_1FKiwhDph83XaGc0o0/edit?usp=sharing"",""งบพรบ!BG46"")"),0)</f>
        <v>0</v>
      </c>
      <c r="N127" s="93">
        <f ca="1">IFERROR(__xludf.DUMMYFUNCTION("IMPORTRANGE(""https://docs.google.com/spreadsheets/d/1MeEWN-I1oV_STSDYn1IFDPWt_1FKiwhDph83XaGc0o0/edit?usp=sharing"",""งบพรบ!BI46"")"),0)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IFERROR(__xludf.DUMMYFUNCTION("IMPORTRANGE(""https://docs.google.com/spreadsheets/d/1MeEWN-I1oV_STSDYn1IFDPWt_1FKiwhDph83XaGc0o0/edit?usp=sharing"",""งบพรบ!BK46"")"),0)</f>
        <v>0</v>
      </c>
      <c r="M137" s="93">
        <f ca="1">IFERROR(__xludf.DUMMYFUNCTION("IMPORTRANGE(""https://docs.google.com/spreadsheets/d/1MeEWN-I1oV_STSDYn1IFDPWt_1FKiwhDph83XaGc0o0/edit?usp=sharing"",""งบพรบ!BP46"")"),0)</f>
        <v>0</v>
      </c>
      <c r="N137" s="93">
        <f ca="1">IFERROR(__xludf.DUMMYFUNCTION("IMPORTRANGE(""https://docs.google.com/spreadsheets/d/1MeEWN-I1oV_STSDYn1IFDPWt_1FKiwhDph83XaGc0o0/edit?usp=sharing"",""งบพรบ!BR46"")"),0)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IFERROR(__xludf.DUMMYFUNCTION("IMPORTRANGE(""https://docs.google.com/spreadsheets/d/1MeEWN-I1oV_STSDYn1IFDPWt_1FKiwhDph83XaGc0o0/edit?usp=sharing"",""งบพรบ!BN46"")"),0)</f>
        <v>0</v>
      </c>
      <c r="M140" s="93">
        <f ca="1">IFERROR(__xludf.DUMMYFUNCTION("IMPORTRANGE(""https://docs.google.com/spreadsheets/d/1MeEWN-I1oV_STSDYn1IFDPWt_1FKiwhDph83XaGc0o0/edit?usp=sharing"",""งบพรบ!BQ46"")"),0)</f>
        <v>0</v>
      </c>
      <c r="N140" s="93">
        <f ca="1">IFERROR(__xludf.DUMMYFUNCTION("IMPORTRANGE(""https://docs.google.com/spreadsheets/d/1MeEWN-I1oV_STSDYn1IFDPWt_1FKiwhDph83XaGc0o0/edit?usp=sharing"",""งบพรบ!BS46"")"),0)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IFERROR(__xludf.DUMMYFUNCTION("IMPORTRANGE(""https://docs.google.com/spreadsheets/d/1MeEWN-I1oV_STSDYn1IFDPWt_1FKiwhDph83XaGc0o0/edit?usp=sharing"",""งบพรบ!BU46"")"),0)</f>
        <v>0</v>
      </c>
      <c r="M154" s="93">
        <f ca="1">IFERROR(__xludf.DUMMYFUNCTION("IMPORTRANGE(""https://docs.google.com/spreadsheets/d/1MeEWN-I1oV_STSDYn1IFDPWt_1FKiwhDph83XaGc0o0/edit?usp=sharing"",""งบพรบ!BZ46"")"),0)</f>
        <v>0</v>
      </c>
      <c r="N154" s="93">
        <f ca="1">IFERROR(__xludf.DUMMYFUNCTION("IMPORTRANGE(""https://docs.google.com/spreadsheets/d/1MeEWN-I1oV_STSDYn1IFDPWt_1FKiwhDph83XaGc0o0/edit?usp=sharing"",""งบพรบ!CB46"")"),0)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IFERROR(__xludf.DUMMYFUNCTION("IMPORTRANGE(""https://docs.google.com/spreadsheets/d/1MeEWN-I1oV_STSDYn1IFDPWt_1FKiwhDph83XaGc0o0/edit?usp=sharing"",""งบพรบ!BX46"")"),0)</f>
        <v>0</v>
      </c>
      <c r="M157" s="93">
        <f ca="1">IFERROR(__xludf.DUMMYFUNCTION("IMPORTRANGE(""https://docs.google.com/spreadsheets/d/1MeEWN-I1oV_STSDYn1IFDPWt_1FKiwhDph83XaGc0o0/edit?usp=sharing"",""งบพรบ!CA46"")"),0)</f>
        <v>0</v>
      </c>
      <c r="N157" s="93">
        <f ca="1">IFERROR(__xludf.DUMMYFUNCTION("IMPORTRANGE(""https://docs.google.com/spreadsheets/d/1MeEWN-I1oV_STSDYn1IFDPWt_1FKiwhDph83XaGc0o0/edit?usp=sharing"",""งบพรบ!CC46"")"),0)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36895</v>
      </c>
      <c r="N165" s="155">
        <f t="shared" ca="1" si="84"/>
        <v>34385</v>
      </c>
      <c r="O165" s="155">
        <f t="shared" ref="O165:O173" ca="1" si="85">IF(L165&gt;0,N165*100/L165,0)</f>
        <v>155.90569031965541</v>
      </c>
      <c r="P165" s="155">
        <f t="shared" ref="P165:P173" ca="1" si="86">IF(M165&gt;0,N165*100/M165,0)</f>
        <v>93.196910150426888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36895</v>
      </c>
      <c r="N167" s="93">
        <f t="shared" ca="1" si="87"/>
        <v>34385</v>
      </c>
      <c r="O167" s="93">
        <f t="shared" ca="1" si="85"/>
        <v>155.90569031965541</v>
      </c>
      <c r="P167" s="93">
        <f t="shared" ca="1" si="86"/>
        <v>93.196910150426888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36895</v>
      </c>
      <c r="N168" s="497">
        <f t="shared" ca="1" si="88"/>
        <v>34385</v>
      </c>
      <c r="O168" s="497">
        <f t="shared" ca="1" si="85"/>
        <v>155.90569031965541</v>
      </c>
      <c r="P168" s="497">
        <f t="shared" ca="1" si="86"/>
        <v>93.196910150426888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IFERROR(__xludf.DUMMYFUNCTION("IMPORTRANGE(""https://docs.google.com/spreadsheets/d/1MeEWN-I1oV_STSDYn1IFDPWt_1FKiwhDph83XaGc0o0/edit?usp=sharing"",""งบพรบ!CE46"")"),22055)</f>
        <v>22055</v>
      </c>
      <c r="M170" s="93">
        <f ca="1">IFERROR(__xludf.DUMMYFUNCTION("IMPORTRANGE(""https://docs.google.com/spreadsheets/d/1MeEWN-I1oV_STSDYn1IFDPWt_1FKiwhDph83XaGc0o0/edit?usp=sharing"",""งบพรบ!CJ46"")"),36895)</f>
        <v>36895</v>
      </c>
      <c r="N170" s="93">
        <f ca="1">IFERROR(__xludf.DUMMYFUNCTION("IMPORTRANGE(""https://docs.google.com/spreadsheets/d/1MeEWN-I1oV_STSDYn1IFDPWt_1FKiwhDph83XaGc0o0/edit?usp=sharing"",""งบพรบ!CL46"")"),34385)</f>
        <v>34385</v>
      </c>
      <c r="O170" s="93">
        <f t="shared" ca="1" si="85"/>
        <v>155.90569031965541</v>
      </c>
      <c r="P170" s="93">
        <f t="shared" ca="1" si="86"/>
        <v>93.196910150426888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IFERROR(__xludf.DUMMYFUNCTION("IMPORTRANGE(""https://docs.google.com/spreadsheets/d/1MeEWN-I1oV_STSDYn1IFDPWt_1FKiwhDph83XaGc0o0/edit?usp=sharing"",""งบพรบ!CH46"")"),0)</f>
        <v>0</v>
      </c>
      <c r="M173" s="93">
        <f ca="1">IFERROR(__xludf.DUMMYFUNCTION("IMPORTRANGE(""https://docs.google.com/spreadsheets/d/1MeEWN-I1oV_STSDYn1IFDPWt_1FKiwhDph83XaGc0o0/edit?usp=sharing"",""งบพรบ!CK46"")"),0)</f>
        <v>0</v>
      </c>
      <c r="N173" s="93">
        <f ca="1">IFERROR(__xludf.DUMMYFUNCTION("IMPORTRANGE(""https://docs.google.com/spreadsheets/d/1MeEWN-I1oV_STSDYn1IFDPWt_1FKiwhDph83XaGc0o0/edit?usp=sharing"",""งบพรบ!CM46"")"),0)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108400</v>
      </c>
      <c r="M181" s="155">
        <f t="shared" ca="1" si="92"/>
        <v>102500</v>
      </c>
      <c r="N181" s="155">
        <f t="shared" ca="1" si="92"/>
        <v>71989.25</v>
      </c>
      <c r="O181" s="155">
        <f t="shared" ref="O181:O189" ca="1" si="93">IF(L181&gt;0,N181*100/L181,0)</f>
        <v>66.410747232472332</v>
      </c>
      <c r="P181" s="155">
        <f t="shared" ref="P181:P189" ca="1" si="94">IF(M181&gt;0,N181*100/M181,0)</f>
        <v>70.233414634146342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108400</v>
      </c>
      <c r="M183" s="93">
        <f t="shared" ca="1" si="95"/>
        <v>102500</v>
      </c>
      <c r="N183" s="93">
        <f t="shared" ca="1" si="95"/>
        <v>71989.25</v>
      </c>
      <c r="O183" s="93">
        <f t="shared" ca="1" si="93"/>
        <v>66.410747232472332</v>
      </c>
      <c r="P183" s="93">
        <f t="shared" ca="1" si="94"/>
        <v>70.233414634146342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108400</v>
      </c>
      <c r="M184" s="497">
        <f t="shared" ca="1" si="96"/>
        <v>102500</v>
      </c>
      <c r="N184" s="497">
        <f t="shared" ca="1" si="96"/>
        <v>71989.25</v>
      </c>
      <c r="O184" s="497">
        <f t="shared" ca="1" si="93"/>
        <v>66.410747232472332</v>
      </c>
      <c r="P184" s="497">
        <f t="shared" ca="1" si="94"/>
        <v>70.233414634146342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IFERROR(__xludf.DUMMYFUNCTION("IMPORTRANGE(""https://docs.google.com/spreadsheets/d/1MeEWN-I1oV_STSDYn1IFDPWt_1FKiwhDph83XaGc0o0/edit?usp=sharing"",""งบพรบ!CO46"")"),108400)</f>
        <v>108400</v>
      </c>
      <c r="M186" s="93">
        <f ca="1">IFERROR(__xludf.DUMMYFUNCTION("IMPORTRANGE(""https://docs.google.com/spreadsheets/d/1MeEWN-I1oV_STSDYn1IFDPWt_1FKiwhDph83XaGc0o0/edit?usp=sharing"",""งบพรบ!CT46"")"),102500)</f>
        <v>102500</v>
      </c>
      <c r="N186" s="93">
        <f ca="1">IFERROR(__xludf.DUMMYFUNCTION("IMPORTRANGE(""https://docs.google.com/spreadsheets/d/1MeEWN-I1oV_STSDYn1IFDPWt_1FKiwhDph83XaGc0o0/edit?usp=sharing"",""งบพรบ!CV46"")"),71989.25)</f>
        <v>71989.25</v>
      </c>
      <c r="O186" s="93">
        <f t="shared" ca="1" si="93"/>
        <v>66.410747232472332</v>
      </c>
      <c r="P186" s="93">
        <f t="shared" ca="1" si="94"/>
        <v>70.233414634146342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IFERROR(__xludf.DUMMYFUNCTION("IMPORTRANGE(""https://docs.google.com/spreadsheets/d/1MeEWN-I1oV_STSDYn1IFDPWt_1FKiwhDph83XaGc0o0/edit?usp=sharing"",""งบพรบ!CR46"")"),0)</f>
        <v>0</v>
      </c>
      <c r="M189" s="93">
        <f ca="1">IFERROR(__xludf.DUMMYFUNCTION("IMPORTRANGE(""https://docs.google.com/spreadsheets/d/1MeEWN-I1oV_STSDYn1IFDPWt_1FKiwhDph83XaGc0o0/edit?usp=sharing"",""งบพรบ!CU46"")"),0)</f>
        <v>0</v>
      </c>
      <c r="N189" s="93">
        <f ca="1">IFERROR(__xludf.DUMMYFUNCTION("IMPORTRANGE(""https://docs.google.com/spreadsheets/d/1MeEWN-I1oV_STSDYn1IFDPWt_1FKiwhDph83XaGc0o0/edit?usp=sharing"",""งบพรบ!CW46"")"),0)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IFERROR(__xludf.DUMMYFUNCTION("IMPORTRANGE(""https://docs.google.com/spreadsheets/d/1QqKyyYR6Q21VydFLVH3TRQUabQu_ym0Zz7PgGX0-kHA/edit?usp=sharing"",""แผน!Z46"")"),6000)</f>
        <v>6000</v>
      </c>
      <c r="M191" s="155"/>
      <c r="N191" s="276">
        <v>1000</v>
      </c>
      <c r="O191" s="155">
        <f ca="1">IF(L191&gt;0,N191*100/L191,0)</f>
        <v>16.666666666666668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35834</v>
      </c>
      <c r="O198" s="155">
        <f ca="1">IF(L198&gt;0,N198*100/L198,0)</f>
        <v>91.882051282051279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IFERROR(__xludf.DUMMYFUNCTION("IMPORTRANGE(""https://docs.google.com/spreadsheets/d/1QqKyyYR6Q21VydFLVH3TRQUabQu_ym0Zz7PgGX0-kHA/edit?usp=sharing"",""แผน!AE46"")"),3000)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IFERROR(__xludf.DUMMYFUNCTION("IMPORTRANGE(""https://docs.google.com/spreadsheets/d/1QqKyyYR6Q21VydFLVH3TRQUabQu_ym0Zz7PgGX0-kHA/edit?usp=sharing"",""แผน!AF46"")"),24000)</f>
        <v>24000</v>
      </c>
      <c r="M200" s="497"/>
      <c r="N200" s="838">
        <v>23834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IFERROR(__xludf.DUMMYFUNCTION("IMPORTRANGE(""https://docs.google.com/spreadsheets/d/1QqKyyYR6Q21VydFLVH3TRQUabQu_ym0Zz7PgGX0-kHA/edit?usp=sharing"",""แผน!AG46"")"),12000)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IFERROR(__xludf.DUMMYFUNCTION("IMPORTRANGE(""https://docs.google.com/spreadsheets/d/1QqKyyYR6Q21VydFLVH3TRQUabQu_ym0Zz7PgGX0-kHA/edit?usp=sharing"",""แผน!AI46"")"),3)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3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4</v>
      </c>
      <c r="J208" s="272">
        <f t="shared" si="101"/>
        <v>4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56000</v>
      </c>
      <c r="M209" s="155"/>
      <c r="N209" s="155">
        <f>N210+N211+N212</f>
        <v>35155.25</v>
      </c>
      <c r="O209" s="155">
        <f ca="1">IF(L209&gt;0,N209*100/L209,0)</f>
        <v>62.777232142857144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IFERROR(__xludf.DUMMYFUNCTION("IMPORTRANGE(""https://docs.google.com/spreadsheets/d/1QqKyyYR6Q21VydFLVH3TRQUabQu_ym0Zz7PgGX0-kHA/edit?usp=sharing"",""แผน!AK46"")"),4000)</f>
        <v>4000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IFERROR(__xludf.DUMMYFUNCTION("IMPORTRANGE(""https://docs.google.com/spreadsheets/d/1QqKyyYR6Q21VydFLVH3TRQUabQu_ym0Zz7PgGX0-kHA/edit?usp=sharing"",""แผน!AL46"")"),20000)</f>
        <v>20000</v>
      </c>
      <c r="M211" s="497"/>
      <c r="N211" s="838">
        <v>10000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IFERROR(__xludf.DUMMYFUNCTION("IMPORTRANGE(""https://docs.google.com/spreadsheets/d/1QqKyyYR6Q21VydFLVH3TRQUabQu_ym0Zz7PgGX0-kHA/edit?usp=sharing"",""แผน!AM46"")"),32000)</f>
        <v>32000</v>
      </c>
      <c r="M212" s="497"/>
      <c r="N212" s="838">
        <v>25155.25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IFERROR(__xludf.DUMMYFUNCTION("IMPORTRANGE(""https://docs.google.com/spreadsheets/d/1QqKyyYR6Q21VydFLVH3TRQUabQu_ym0Zz7PgGX0-kHA/edit?usp=sharing"",""แผน!AN46"")"),4)</f>
        <v>4</v>
      </c>
      <c r="J214" s="215">
        <v>2</v>
      </c>
      <c r="K214" s="497">
        <f t="shared" ref="K214:K216" ca="1" si="102">IF(I214&gt;0,J214*100/I214,0)</f>
        <v>50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IFERROR(__xludf.DUMMYFUNCTION("IMPORTRANGE(""https://docs.google.com/spreadsheets/d/1QqKyyYR6Q21VydFLVH3TRQUabQu_ym0Zz7PgGX0-kHA/edit?usp=sharing"",""แผน!AN46"")"),4)</f>
        <v>4</v>
      </c>
      <c r="J215" s="215">
        <v>4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IFERROR(__xludf.DUMMYFUNCTION("IMPORTRANGE(""https://docs.google.com/spreadsheets/d/1QqKyyYR6Q21VydFLVH3TRQUabQu_ym0Zz7PgGX0-kHA/edit?usp=sharing"",""แผน!AP46"")"),3000)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IFERROR(__xludf.DUMMYFUNCTION("IMPORTRANGE(""https://docs.google.com/spreadsheets/d/1QqKyyYR6Q21VydFLVH3TRQUabQu_ym0Zz7PgGX0-kHA/edit?usp=sharing"",""แผน!AQ46"")"),4400)</f>
        <v>4400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IFERROR(__xludf.DUMMYFUNCTION("IMPORTRANGE(""https://docs.google.com/spreadsheets/d/1QqKyyYR6Q21VydFLVH3TRQUabQu_ym0Zz7PgGX0-kHA/edit?usp=sharing"",""แผน!AR46"")"),0)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IFERROR(__xludf.DUMMYFUNCTION("IMPORTRANGE(""https://docs.google.com/spreadsheets/d/1QqKyyYR6Q21VydFLVH3TRQUabQu_ym0Zz7PgGX0-kHA/edit?usp=sharing"",""แผน!AT46"")"),15000)</f>
        <v>15000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20475</v>
      </c>
      <c r="O261" s="155">
        <f t="shared" ref="O261:O269" ca="1" si="117">IF(L261&gt;0,N261*100/L261,0)</f>
        <v>76.115241635687738</v>
      </c>
      <c r="P261" s="155">
        <f t="shared" ref="P261:P269" ca="1" si="118">IF(M261&gt;0,N261*100/M261,0)</f>
        <v>85.669456066945614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20475</v>
      </c>
      <c r="O263" s="93">
        <f t="shared" ca="1" si="117"/>
        <v>76.115241635687738</v>
      </c>
      <c r="P263" s="93">
        <f t="shared" ca="1" si="118"/>
        <v>85.669456066945614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20475</v>
      </c>
      <c r="O264" s="497">
        <f t="shared" ca="1" si="117"/>
        <v>76.115241635687738</v>
      </c>
      <c r="P264" s="497">
        <f t="shared" ca="1" si="118"/>
        <v>85.669456066945614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IFERROR(__xludf.DUMMYFUNCTION("IMPORTRANGE(""https://docs.google.com/spreadsheets/d/1MeEWN-I1oV_STSDYn1IFDPWt_1FKiwhDph83XaGc0o0/edit?usp=sharing"",""งบพรบ!CY46"")"),26900)</f>
        <v>26900</v>
      </c>
      <c r="M266" s="93">
        <f ca="1">IFERROR(__xludf.DUMMYFUNCTION("IMPORTRANGE(""https://docs.google.com/spreadsheets/d/1MeEWN-I1oV_STSDYn1IFDPWt_1FKiwhDph83XaGc0o0/edit?usp=sharing"",""งบพรบ!DD46"")"),23900)</f>
        <v>23900</v>
      </c>
      <c r="N266" s="93">
        <f ca="1">IFERROR(__xludf.DUMMYFUNCTION("IMPORTRANGE(""https://docs.google.com/spreadsheets/d/1MeEWN-I1oV_STSDYn1IFDPWt_1FKiwhDph83XaGc0o0/edit?usp=sharing"",""งบพรบ!DF46"")"),20475)</f>
        <v>20475</v>
      </c>
      <c r="O266" s="93">
        <f t="shared" ca="1" si="117"/>
        <v>76.115241635687738</v>
      </c>
      <c r="P266" s="93">
        <f t="shared" ca="1" si="118"/>
        <v>85.669456066945614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IFERROR(__xludf.DUMMYFUNCTION("IMPORTRANGE(""https://docs.google.com/spreadsheets/d/1MeEWN-I1oV_STSDYn1IFDPWt_1FKiwhDph83XaGc0o0/edit?usp=sharing"",""งบพรบ!DB46"")"),0)</f>
        <v>0</v>
      </c>
      <c r="M269" s="93">
        <f ca="1">IFERROR(__xludf.DUMMYFUNCTION("IMPORTRANGE(""https://docs.google.com/spreadsheets/d/1MeEWN-I1oV_STSDYn1IFDPWt_1FKiwhDph83XaGc0o0/edit?usp=sharing"",""งบพรบ!DE46"")"),0)</f>
        <v>0</v>
      </c>
      <c r="N269" s="93">
        <f ca="1">IFERROR(__xludf.DUMMYFUNCTION("IMPORTRANGE(""https://docs.google.com/spreadsheets/d/1MeEWN-I1oV_STSDYn1IFDPWt_1FKiwhDph83XaGc0o0/edit?usp=sharing"",""งบพรบ!DG46"")"),0)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250</v>
      </c>
      <c r="J276" s="406">
        <f t="shared" si="124"/>
        <v>250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542220</v>
      </c>
      <c r="M277" s="155">
        <f t="shared" ca="1" si="125"/>
        <v>376020</v>
      </c>
      <c r="N277" s="155">
        <f t="shared" ca="1" si="125"/>
        <v>292128.90000000002</v>
      </c>
      <c r="O277" s="155">
        <f t="shared" ref="O277:O285" ca="1" si="126">IF(L277&gt;0,N277*100/L277,0)</f>
        <v>53.876452362509688</v>
      </c>
      <c r="P277" s="155">
        <f t="shared" ref="P277:P285" ca="1" si="127">IF(M277&gt;0,N277*100/M277,0)</f>
        <v>77.68972395085369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542220</v>
      </c>
      <c r="M279" s="93">
        <f t="shared" ca="1" si="128"/>
        <v>376020</v>
      </c>
      <c r="N279" s="93">
        <f t="shared" ca="1" si="128"/>
        <v>292128.90000000002</v>
      </c>
      <c r="O279" s="93">
        <f t="shared" ca="1" si="126"/>
        <v>53.876452362509688</v>
      </c>
      <c r="P279" s="93">
        <f t="shared" ca="1" si="127"/>
        <v>77.68972395085369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542220</v>
      </c>
      <c r="M280" s="497">
        <f t="shared" ca="1" si="129"/>
        <v>376020</v>
      </c>
      <c r="N280" s="497">
        <f t="shared" ca="1" si="129"/>
        <v>292128.90000000002</v>
      </c>
      <c r="O280" s="497">
        <f t="shared" ca="1" si="126"/>
        <v>53.876452362509688</v>
      </c>
      <c r="P280" s="497">
        <f t="shared" ca="1" si="127"/>
        <v>77.68972395085369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IFERROR(__xludf.DUMMYFUNCTION("IMPORTRANGE(""https://docs.google.com/spreadsheets/d/1MeEWN-I1oV_STSDYn1IFDPWt_1FKiwhDph83XaGc0o0/edit?usp=sharing"",""งบพรบ!DI46"")"),542220)</f>
        <v>542220</v>
      </c>
      <c r="M282" s="93">
        <f ca="1">IFERROR(__xludf.DUMMYFUNCTION("IMPORTRANGE(""https://docs.google.com/spreadsheets/d/1MeEWN-I1oV_STSDYn1IFDPWt_1FKiwhDph83XaGc0o0/edit?usp=sharing"",""งบพรบ!DN46"")"),376020)</f>
        <v>376020</v>
      </c>
      <c r="N282" s="93">
        <f ca="1">IFERROR(__xludf.DUMMYFUNCTION("IMPORTRANGE(""https://docs.google.com/spreadsheets/d/1MeEWN-I1oV_STSDYn1IFDPWt_1FKiwhDph83XaGc0o0/edit?usp=sharing"",""งบพรบ!DP46"")"),292128.9)</f>
        <v>292128.90000000002</v>
      </c>
      <c r="O282" s="93">
        <f t="shared" ca="1" si="126"/>
        <v>53.876452362509688</v>
      </c>
      <c r="P282" s="93">
        <f t="shared" ca="1" si="127"/>
        <v>77.68972395085369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IFERROR(__xludf.DUMMYFUNCTION("IMPORTRANGE(""https://docs.google.com/spreadsheets/d/1MeEWN-I1oV_STSDYn1IFDPWt_1FKiwhDph83XaGc0o0/edit?usp=sharing"",""งบพรบ!DL46"")"),0)</f>
        <v>0</v>
      </c>
      <c r="M285" s="93">
        <f ca="1">IFERROR(__xludf.DUMMYFUNCTION("IMPORTRANGE(""https://docs.google.com/spreadsheets/d/1MeEWN-I1oV_STSDYn1IFDPWt_1FKiwhDph83XaGc0o0/edit?usp=sharing"",""งบพรบ!DO46"")"),0)</f>
        <v>0</v>
      </c>
      <c r="N285" s="93">
        <f ca="1">IFERROR(__xludf.DUMMYFUNCTION("IMPORTRANGE(""https://docs.google.com/spreadsheets/d/1MeEWN-I1oV_STSDYn1IFDPWt_1FKiwhDph83XaGc0o0/edit?usp=sharing"",""งบพรบ!DQ46"")"),0)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IFERROR(__xludf.DUMMYFUNCTION("IMPORTRANGE(""https://docs.google.com/spreadsheets/d/1QqKyyYR6Q21VydFLVH3TRQUabQu_ym0Zz7PgGX0-kHA/edit?usp=sharing"",""แผน!EC46"")"),250)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IFERROR(__xludf.DUMMYFUNCTION("IMPORTRANGE(""https://docs.google.com/spreadsheets/d/1QqKyyYR6Q21VydFLVH3TRQUabQu_ym0Zz7PgGX0-kHA/edit?usp=sharing"",""แผน!EB46"")"),25)</f>
        <v>25</v>
      </c>
      <c r="J288" s="679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IFERROR(__xludf.DUMMYFUNCTION("IMPORTRANGE(""https://docs.google.com/spreadsheets/d/1QqKyyYR6Q21VydFLVH3TRQUabQu_ym0Zz7PgGX0-kHA/edit?usp=sharing"",""แผน!EB46"")"),25)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IFERROR(__xludf.DUMMYFUNCTION("IMPORTRANGE(""https://docs.google.com/spreadsheets/d/1QqKyyYR6Q21VydFLVH3TRQUabQu_ym0Zz7PgGX0-kHA/edit?usp=sharing"",""แผน!EB46"")"),25)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IFERROR(__xludf.DUMMYFUNCTION("IMPORTRANGE(""https://docs.google.com/spreadsheets/d/1QqKyyYR6Q21VydFLVH3TRQUabQu_ym0Zz7PgGX0-kHA/edit?usp=sharing"",""แผน!EB46"")"),25)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IFERROR(__xludf.DUMMYFUNCTION("IMPORTRANGE(""https://docs.google.com/spreadsheets/d/1QqKyyYR6Q21VydFLVH3TRQUabQu_ym0Zz7PgGX0-kHA/edit?usp=sharing"",""แผน!EB46"")"),25)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64223</v>
      </c>
      <c r="O298" s="155">
        <f t="shared" ref="O298:O306" ca="1" si="136">IF(L298&gt;0,N298*100/L298,0)</f>
        <v>77.940533980582529</v>
      </c>
      <c r="P298" s="155">
        <f t="shared" ref="P298:P306" ca="1" si="137">IF(M298&gt;0,N298*100/M298,0)</f>
        <v>99.725155279503099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64223</v>
      </c>
      <c r="O300" s="93">
        <f t="shared" ca="1" si="136"/>
        <v>77.940533980582529</v>
      </c>
      <c r="P300" s="93">
        <f t="shared" ca="1" si="137"/>
        <v>99.725155279503099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64223</v>
      </c>
      <c r="O301" s="497">
        <f t="shared" ca="1" si="136"/>
        <v>77.940533980582529</v>
      </c>
      <c r="P301" s="497">
        <f t="shared" ca="1" si="137"/>
        <v>99.725155279503099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IFERROR(__xludf.DUMMYFUNCTION("IMPORTRANGE(""https://docs.google.com/spreadsheets/d/1MeEWN-I1oV_STSDYn1IFDPWt_1FKiwhDph83XaGc0o0/edit?usp=sharing"",""งบพรบ!DS46"")"),82400)</f>
        <v>82400</v>
      </c>
      <c r="M303" s="93">
        <f ca="1">IFERROR(__xludf.DUMMYFUNCTION("IMPORTRANGE(""https://docs.google.com/spreadsheets/d/1MeEWN-I1oV_STSDYn1IFDPWt_1FKiwhDph83XaGc0o0/edit?usp=sharing"",""งบพรบ!DX46"")"),64400)</f>
        <v>64400</v>
      </c>
      <c r="N303" s="93">
        <f ca="1">IFERROR(__xludf.DUMMYFUNCTION("IMPORTRANGE(""https://docs.google.com/spreadsheets/d/1MeEWN-I1oV_STSDYn1IFDPWt_1FKiwhDph83XaGc0o0/edit?usp=sharing"",""งบพรบ!DZ46"")"),64223)</f>
        <v>64223</v>
      </c>
      <c r="O303" s="93">
        <f t="shared" ca="1" si="136"/>
        <v>77.940533980582529</v>
      </c>
      <c r="P303" s="93">
        <f t="shared" ca="1" si="137"/>
        <v>99.725155279503099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IFERROR(__xludf.DUMMYFUNCTION("IMPORTRANGE(""https://docs.google.com/spreadsheets/d/1MeEWN-I1oV_STSDYn1IFDPWt_1FKiwhDph83XaGc0o0/edit?usp=sharing"",""งบพรบ!DV46"")"),0)</f>
        <v>0</v>
      </c>
      <c r="M306" s="93">
        <f ca="1">IFERROR(__xludf.DUMMYFUNCTION("IMPORTRANGE(""https://docs.google.com/spreadsheets/d/1MeEWN-I1oV_STSDYn1IFDPWt_1FKiwhDph83XaGc0o0/edit?usp=sharing"",""งบพรบ!DY46"")"),0)</f>
        <v>0</v>
      </c>
      <c r="N306" s="93">
        <f ca="1">IFERROR(__xludf.DUMMYFUNCTION("IMPORTRANGE(""https://docs.google.com/spreadsheets/d/1MeEWN-I1oV_STSDYn1IFDPWt_1FKiwhDph83XaGc0o0/edit?usp=sharing"",""งบพรบ!EA46"")"),0)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IFERROR(__xludf.DUMMYFUNCTION("IMPORTRANGE(""https://docs.google.com/spreadsheets/d/1QqKyyYR6Q21VydFLVH3TRQUabQu_ym0Zz7PgGX0-kHA/edit?usp=sharing"",""แผน!ED46"")"),20)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IFERROR(__xludf.DUMMYFUNCTION("IMPORTRANGE(""https://docs.google.com/spreadsheets/d/1QqKyyYR6Q21VydFLVH3TRQUabQu_ym0Zz7PgGX0-kHA/edit?usp=sharing"",""แผน!ED46"")"),20)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IFERROR(__xludf.DUMMYFUNCTION("IMPORTRANGE(""https://docs.google.com/spreadsheets/d/1QqKyyYR6Q21VydFLVH3TRQUabQu_ym0Zz7PgGX0-kHA/edit?usp=sharing"",""แผน!ED46"")"),20)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IFERROR(__xludf.DUMMYFUNCTION("IMPORTRANGE(""https://docs.google.com/spreadsheets/d/1QqKyyYR6Q21VydFLVH3TRQUabQu_ym0Zz7PgGX0-kHA/edit?usp=sharing"",""แผน!EE46"")"),4)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IFERROR(__xludf.DUMMYFUNCTION("IMPORTRANGE(""https://docs.google.com/spreadsheets/d/1MeEWN-I1oV_STSDYn1IFDPWt_1FKiwhDph83XaGc0o0/edit?usp=sharing"",""งบพรบ!EC46"")"),0)</f>
        <v>0</v>
      </c>
      <c r="M320" s="93">
        <f ca="1">IFERROR(__xludf.DUMMYFUNCTION("IMPORTRANGE(""https://docs.google.com/spreadsheets/d/1MeEWN-I1oV_STSDYn1IFDPWt_1FKiwhDph83XaGc0o0/edit?usp=sharing"",""งบพรบ!EH46"")"),0)</f>
        <v>0</v>
      </c>
      <c r="N320" s="93">
        <f ca="1">IFERROR(__xludf.DUMMYFUNCTION("IMPORTRANGE(""https://docs.google.com/spreadsheets/d/1MeEWN-I1oV_STSDYn1IFDPWt_1FKiwhDph83XaGc0o0/edit?usp=sharing"",""งบพรบ!EJ46"")"),0)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IFERROR(__xludf.DUMMYFUNCTION("IMPORTRANGE(""https://docs.google.com/spreadsheets/d/1MeEWN-I1oV_STSDYn1IFDPWt_1FKiwhDph83XaGc0o0/edit?usp=sharing"",""งบพรบ!EF46"")"),0)</f>
        <v>0</v>
      </c>
      <c r="M323" s="93">
        <f ca="1">IFERROR(__xludf.DUMMYFUNCTION("IMPORTRANGE(""https://docs.google.com/spreadsheets/d/1MeEWN-I1oV_STSDYn1IFDPWt_1FKiwhDph83XaGc0o0/edit?usp=sharing"",""งบพรบ!EI46"")"),0)</f>
        <v>0</v>
      </c>
      <c r="N323" s="93">
        <f ca="1">IFERROR(__xludf.DUMMYFUNCTION("IMPORTRANGE(""https://docs.google.com/spreadsheets/d/1MeEWN-I1oV_STSDYn1IFDPWt_1FKiwhDph83XaGc0o0/edit?usp=sharing"",""งบพรบ!EK46"")"),0)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IFERROR(__xludf.DUMMYFUNCTION("IMPORTRANGE(""https://docs.google.com/spreadsheets/d/1QqKyyYR6Q21VydFLVH3TRQUabQu_ym0Zz7PgGX0-kHA/edit?usp=sharing"",""แผน!EG46"")"),5300)</f>
        <v>5300</v>
      </c>
      <c r="J327" s="444">
        <f ca="1">J338+J341+J342+J343</f>
        <v>4140</v>
      </c>
      <c r="K327" s="445">
        <f ca="1">IF(I327&gt;0,J327*100/I327,0)</f>
        <v>78.113207547169807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178000</v>
      </c>
      <c r="M328" s="155">
        <f t="shared" ca="1" si="149"/>
        <v>136000</v>
      </c>
      <c r="N328" s="155">
        <f t="shared" ca="1" si="149"/>
        <v>128830</v>
      </c>
      <c r="O328" s="155">
        <f t="shared" ref="O328:O336" ca="1" si="150">IF(L328&gt;0,N328*100/L328,0)</f>
        <v>72.376404494382029</v>
      </c>
      <c r="P328" s="155">
        <f t="shared" ref="P328:P336" ca="1" si="151">IF(M328&gt;0,N328*100/M328,0)</f>
        <v>94.727941176470594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178000</v>
      </c>
      <c r="M330" s="93">
        <f t="shared" ca="1" si="152"/>
        <v>136000</v>
      </c>
      <c r="N330" s="93">
        <f t="shared" ca="1" si="152"/>
        <v>128830</v>
      </c>
      <c r="O330" s="93">
        <f t="shared" ca="1" si="150"/>
        <v>72.376404494382029</v>
      </c>
      <c r="P330" s="93">
        <f t="shared" ca="1" si="151"/>
        <v>94.727941176470594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178000</v>
      </c>
      <c r="M331" s="497">
        <f t="shared" ca="1" si="153"/>
        <v>136000</v>
      </c>
      <c r="N331" s="497">
        <f t="shared" ca="1" si="153"/>
        <v>128830</v>
      </c>
      <c r="O331" s="497">
        <f t="shared" ca="1" si="150"/>
        <v>72.376404494382029</v>
      </c>
      <c r="P331" s="497">
        <f t="shared" ca="1" si="151"/>
        <v>94.727941176470594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IFERROR(__xludf.DUMMYFUNCTION("IMPORTRANGE(""https://docs.google.com/spreadsheets/d/1MeEWN-I1oV_STSDYn1IFDPWt_1FKiwhDph83XaGc0o0/edit?usp=sharing"",""งบพรบ!EM46"")"),178000)</f>
        <v>178000</v>
      </c>
      <c r="M333" s="93">
        <f ca="1">IFERROR(__xludf.DUMMYFUNCTION("IMPORTRANGE(""https://docs.google.com/spreadsheets/d/1MeEWN-I1oV_STSDYn1IFDPWt_1FKiwhDph83XaGc0o0/edit?usp=sharing"",""งบพรบ!ER46"")"),136000)</f>
        <v>136000</v>
      </c>
      <c r="N333" s="93">
        <f ca="1">IFERROR(__xludf.DUMMYFUNCTION("IMPORTRANGE(""https://docs.google.com/spreadsheets/d/1MeEWN-I1oV_STSDYn1IFDPWt_1FKiwhDph83XaGc0o0/edit?usp=sharing"",""งบพรบ!ET46"")"),128830)</f>
        <v>128830</v>
      </c>
      <c r="O333" s="93">
        <f t="shared" ca="1" si="150"/>
        <v>72.376404494382029</v>
      </c>
      <c r="P333" s="93">
        <f t="shared" ca="1" si="151"/>
        <v>94.727941176470594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IFERROR(__xludf.DUMMYFUNCTION("IMPORTRANGE(""https://docs.google.com/spreadsheets/d/1MeEWN-I1oV_STSDYn1IFDPWt_1FKiwhDph83XaGc0o0/edit?usp=sharing"",""งบพรบ!EP46"")"),0)</f>
        <v>0</v>
      </c>
      <c r="M336" s="93">
        <f ca="1">IFERROR(__xludf.DUMMYFUNCTION("IMPORTRANGE(""https://docs.google.com/spreadsheets/d/1MeEWN-I1oV_STSDYn1IFDPWt_1FKiwhDph83XaGc0o0/edit?usp=sharing"",""งบพรบ!ES46"")"),0)</f>
        <v>0</v>
      </c>
      <c r="N336" s="93">
        <f ca="1">IFERROR(__xludf.DUMMYFUNCTION("IMPORTRANGE(""https://docs.google.com/spreadsheets/d/1MeEWN-I1oV_STSDYn1IFDPWt_1FKiwhDph83XaGc0o0/edit?usp=sharing"",""งบพรบ!EU46"")"),0)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IFERROR(__xludf.DUMMYFUNCTION("IMPORTRANGE(""https://docs.google.com/spreadsheets/d/1QqKyyYR6Q21VydFLVH3TRQUabQu_ym0Zz7PgGX0-kHA/edit?usp=sharing"",""แผน!EG46"")"),5300)</f>
        <v>5300</v>
      </c>
      <c r="J338" s="270">
        <f ca="1">IFERROR(__xludf.DUMMYFUNCTION("IMPORTRANGE(""https://docs.google.com/spreadsheets/d/1kVcqe37tkHyjCSG3S0O1AXqVkqjo8mSIZil3BcpIysc/edit?usp=sharing"",""ศูนย์!D46"")"),3852)</f>
        <v>3852</v>
      </c>
      <c r="K338" s="497">
        <f ca="1">IF(I338&gt;0,J338*100/I338,0)</f>
        <v>72.679245283018872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IFERROR(__xludf.DUMMYFUNCTION("IMPORTRANGE(""https://docs.google.com/spreadsheets/d/1QqKyyYR6Q21VydFLVH3TRQUabQu_ym0Zz7PgGX0-kHA/edit?usp=sharing"",""แผน!EH46"")"),5)</f>
        <v>5</v>
      </c>
      <c r="J340" s="270">
        <f ca="1">IFERROR(__xludf.DUMMYFUNCTION("IMPORTRANGE(""https://docs.google.com/spreadsheets/d/1kVcqe37tkHyjCSG3S0O1AXqVkqjo8mSIZil3BcpIysc/edit?usp=sharing"",""ศูนย์!E46"")"),2)</f>
        <v>2</v>
      </c>
      <c r="K340" s="497">
        <f ca="1">IF(I340&gt;0,J340*100/I340,0)</f>
        <v>40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IFERROR(__xludf.DUMMYFUNCTION("IMPORTRANGE(""https://docs.google.com/spreadsheets/d/1kVcqe37tkHyjCSG3S0O1AXqVkqjo8mSIZil3BcpIysc/edit?usp=sharing"",""ศูนย์!F46"")"),256)</f>
        <v>256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IFERROR(__xludf.DUMMYFUNCTION("IMPORTRANGE(""https://docs.google.com/spreadsheets/d/1kVcqe37tkHyjCSG3S0O1AXqVkqjo8mSIZil3BcpIysc/edit?usp=sharing"",""ศูนย์!G46"")"),3)</f>
        <v>3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IFERROR(__xludf.DUMMYFUNCTION("IMPORTRANGE(""https://docs.google.com/spreadsheets/d/1kVcqe37tkHyjCSG3S0O1AXqVkqjo8mSIZil3BcpIysc/edit?usp=sharing"",""ศูนย์!H46"")"),29)</f>
        <v>29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2144960</v>
      </c>
      <c r="M345" s="155">
        <f t="shared" ca="1" si="155"/>
        <v>1798016</v>
      </c>
      <c r="N345" s="155">
        <f t="shared" ca="1" si="155"/>
        <v>1296196.6000000001</v>
      </c>
      <c r="O345" s="155">
        <f t="shared" ref="O345:O353" ca="1" si="156">IF(L345&gt;0,N345*100/L345,0)</f>
        <v>60.429872818141135</v>
      </c>
      <c r="P345" s="155">
        <f t="shared" ref="P345:P353" ca="1" si="157">IF(M345&gt;0,N345*100/M345,0)</f>
        <v>72.090381843098186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2144960</v>
      </c>
      <c r="M347" s="93">
        <f t="shared" ca="1" si="158"/>
        <v>1798016</v>
      </c>
      <c r="N347" s="93">
        <f t="shared" ca="1" si="158"/>
        <v>1296196.6000000001</v>
      </c>
      <c r="O347" s="93">
        <f t="shared" ca="1" si="156"/>
        <v>60.429872818141135</v>
      </c>
      <c r="P347" s="93">
        <f t="shared" ca="1" si="157"/>
        <v>72.090381843098186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1977760</v>
      </c>
      <c r="M348" s="497">
        <f t="shared" ca="1" si="159"/>
        <v>1632996</v>
      </c>
      <c r="N348" s="497">
        <f t="shared" ca="1" si="159"/>
        <v>1131176.6000000001</v>
      </c>
      <c r="O348" s="497">
        <f t="shared" ca="1" si="156"/>
        <v>57.194836582800754</v>
      </c>
      <c r="P348" s="497">
        <f t="shared" ca="1" si="157"/>
        <v>69.270016583016741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IFERROR(__xludf.DUMMYFUNCTION("IMPORTRANGE(""https://docs.google.com/spreadsheets/d/1MeEWN-I1oV_STSDYn1IFDPWt_1FKiwhDph83XaGc0o0/edit?usp=sharing"",""งบพรบ!EW46"")"),1977760)</f>
        <v>1977760</v>
      </c>
      <c r="M350" s="93">
        <f ca="1">IFERROR(__xludf.DUMMYFUNCTION("IMPORTRANGE(""https://docs.google.com/spreadsheets/d/1MeEWN-I1oV_STSDYn1IFDPWt_1FKiwhDph83XaGc0o0/edit?usp=sharing"",""งบพรบ!FB46"")"),1632996)</f>
        <v>1632996</v>
      </c>
      <c r="N350" s="93">
        <f ca="1">IFERROR(__xludf.DUMMYFUNCTION("IMPORTRANGE(""https://docs.google.com/spreadsheets/d/1MeEWN-I1oV_STSDYn1IFDPWt_1FKiwhDph83XaGc0o0/edit?usp=sharing"",""งบพรบ!FD46"")"),1131176.6)</f>
        <v>1131176.6000000001</v>
      </c>
      <c r="O350" s="93">
        <f t="shared" ca="1" si="156"/>
        <v>57.194836582800754</v>
      </c>
      <c r="P350" s="93">
        <f t="shared" ca="1" si="157"/>
        <v>69.270016583016741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167200</v>
      </c>
      <c r="M351" s="497">
        <f t="shared" ca="1" si="160"/>
        <v>165020</v>
      </c>
      <c r="N351" s="497">
        <f t="shared" ca="1" si="160"/>
        <v>165020</v>
      </c>
      <c r="O351" s="497">
        <f t="shared" ca="1" si="156"/>
        <v>98.696172248803833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IFERROR(__xludf.DUMMYFUNCTION("IMPORTRANGE(""https://docs.google.com/spreadsheets/d/1MeEWN-I1oV_STSDYn1IFDPWt_1FKiwhDph83XaGc0o0/edit?usp=sharing"",""งบพรบ!EZ46"")"),167200)</f>
        <v>167200</v>
      </c>
      <c r="M353" s="93">
        <f ca="1">IFERROR(__xludf.DUMMYFUNCTION("IMPORTRANGE(""https://docs.google.com/spreadsheets/d/1MeEWN-I1oV_STSDYn1IFDPWt_1FKiwhDph83XaGc0o0/edit?usp=sharing"",""งบพรบ!FC46"")"),165020)</f>
        <v>165020</v>
      </c>
      <c r="N353" s="93">
        <f ca="1">IFERROR(__xludf.DUMMYFUNCTION("IMPORTRANGE(""https://docs.google.com/spreadsheets/d/1MeEWN-I1oV_STSDYn1IFDPWt_1FKiwhDph83XaGc0o0/edit?usp=sharing"",""งบพรบ!FE46"")"),165020)</f>
        <v>165020</v>
      </c>
      <c r="O353" s="93">
        <f t="shared" ca="1" si="156"/>
        <v>98.696172248803833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IFERROR(__xludf.DUMMYFUNCTION("IMPORTRANGE(""https://docs.google.com/spreadsheets/d/1QqKyyYR6Q21VydFLVH3TRQUabQu_ym0Zz7PgGX0-kHA/edit?usp=sharing"",""แผน!EP46"")"),1000)</f>
        <v>1000</v>
      </c>
      <c r="J355" s="464">
        <f ca="1">J362</f>
        <v>432</v>
      </c>
      <c r="K355" s="465">
        <f ca="1">IF(I355&gt;0,J355*100/I355,0)</f>
        <v>43.2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IFERROR(__xludf.DUMMYFUNCTION("IMPORTRANGE(""https://docs.google.com/spreadsheets/d/1XWAQStnk-4SwqDmLtmXYiTMKHgktTP8We1SCoS47DrQ/edit?usp=sharing"",""จัดที่ดิน!W46"")"),933)</f>
        <v>933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IFERROR(__xludf.DUMMYFUNCTION("IMPORTRANGE(""https://docs.google.com/spreadsheets/d/1QqKyyYR6Q21VydFLVH3TRQUabQu_ym0Zz7PgGX0-kHA/edit?usp=sharing"",""แผน!EO46"")"),10000)</f>
        <v>10000</v>
      </c>
      <c r="J359" s="270">
        <f ca="1">IFERROR(__xludf.DUMMYFUNCTION("IMPORTRANGE(""https://docs.google.com/spreadsheets/d/1XWAQStnk-4SwqDmLtmXYiTMKHgktTP8We1SCoS47DrQ/edit?usp=sharing"",""จัดที่ดิน!X46"")"),6087.97)</f>
        <v>6087.97</v>
      </c>
      <c r="K359" s="497">
        <f t="shared" ca="1" si="161"/>
        <v>60.8797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IFERROR(__xludf.DUMMYFUNCTION("IMPORTRANGE(""https://docs.google.com/spreadsheets/d/1QqKyyYR6Q21VydFLVH3TRQUabQu_ym0Zz7PgGX0-kHA/edit?usp=sharing"",""แผน!EP46"")"),1000)</f>
        <v>1000</v>
      </c>
      <c r="J360" s="270">
        <f ca="1">IFERROR(__xludf.DUMMYFUNCTION("IMPORTRANGE(""https://docs.google.com/spreadsheets/d/1XWAQStnk-4SwqDmLtmXYiTMKHgktTP8We1SCoS47DrQ/edit?usp=sharing"",""จัดที่ดิน!Y46"")"),725)</f>
        <v>725</v>
      </c>
      <c r="K360" s="497">
        <f t="shared" ca="1" si="161"/>
        <v>72.5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IFERROR(__xludf.DUMMYFUNCTION("IMPORTRANGE(""https://docs.google.com/spreadsheets/d/1XWAQStnk-4SwqDmLtmXYiTMKHgktTP8We1SCoS47DrQ/edit?usp=sharing"",""จัดที่ดิน!Z46"")"),4574.13)</f>
        <v>4574.13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IFERROR(__xludf.DUMMYFUNCTION("IMPORTRANGE(""https://docs.google.com/spreadsheets/d/1QqKyyYR6Q21VydFLVH3TRQUabQu_ym0Zz7PgGX0-kHA/edit?usp=sharing"",""แผน!EP46"")"),1000)</f>
        <v>1000</v>
      </c>
      <c r="J362" s="270">
        <f ca="1">IFERROR(__xludf.DUMMYFUNCTION("IMPORTRANGE(""https://docs.google.com/spreadsheets/d/1XWAQStnk-4SwqDmLtmXYiTMKHgktTP8We1SCoS47DrQ/edit?usp=sharing"",""จัดที่ดิน!AA46"")"),432)</f>
        <v>432</v>
      </c>
      <c r="K362" s="497">
        <f t="shared" ca="1" si="161"/>
        <v>43.2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IFERROR(__xludf.DUMMYFUNCTION("IMPORTRANGE(""https://docs.google.com/spreadsheets/d/1XWAQStnk-4SwqDmLtmXYiTMKHgktTP8We1SCoS47DrQ/edit?usp=sharing"",""จัดที่ดิน!AB46"")"),2778.47)</f>
        <v>2778.47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2200</v>
      </c>
      <c r="J364" s="478">
        <f t="shared" ca="1" si="162"/>
        <v>1075</v>
      </c>
      <c r="K364" s="479">
        <f t="shared" ca="1" si="161"/>
        <v>48.863636363636367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IFERROR(__xludf.DUMMYFUNCTION("IMPORTRANGE(""https://docs.google.com/spreadsheets/d/1QqKyyYR6Q21VydFLVH3TRQUabQu_ym0Zz7PgGX0-kHA/edit?usp=sharing"",""แผน!EJ46"")"),300)</f>
        <v>300</v>
      </c>
      <c r="J365" s="490">
        <f ca="1">J372</f>
        <v>146</v>
      </c>
      <c r="K365" s="491">
        <f t="shared" ca="1" si="161"/>
        <v>48.666666666666664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IFERROR(__xludf.DUMMYFUNCTION("IMPORTRANGE(""https://docs.google.com/spreadsheets/d/1XWAQStnk-4SwqDmLtmXYiTMKHgktTP8We1SCoS47DrQ/edit?usp=sharing"",""จัดที่ดิน!E46"")"),282)</f>
        <v>282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IFERROR(__xludf.DUMMYFUNCTION("IMPORTRANGE(""https://docs.google.com/spreadsheets/d/1QqKyyYR6Q21VydFLVH3TRQUabQu_ym0Zz7PgGX0-kHA/edit?usp=sharing"",""แผน!EI46"")"),3000)</f>
        <v>3000</v>
      </c>
      <c r="J369" s="270">
        <f ca="1">IFERROR(__xludf.DUMMYFUNCTION("IMPORTRANGE(""https://docs.google.com/spreadsheets/d/1XWAQStnk-4SwqDmLtmXYiTMKHgktTP8We1SCoS47DrQ/edit?usp=sharing"",""จัดที่ดิน!F46"")"),1667.67)</f>
        <v>1667.67</v>
      </c>
      <c r="K369" s="497">
        <f t="shared" ca="1" si="163"/>
        <v>55.588999999999999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IFERROR(__xludf.DUMMYFUNCTION("IMPORTRANGE(""https://docs.google.com/spreadsheets/d/1QqKyyYR6Q21VydFLVH3TRQUabQu_ym0Zz7PgGX0-kHA/edit?usp=sharing"",""แผน!EJ46"")"),300)</f>
        <v>300</v>
      </c>
      <c r="J370" s="270">
        <f ca="1">IFERROR(__xludf.DUMMYFUNCTION("IMPORTRANGE(""https://docs.google.com/spreadsheets/d/1XWAQStnk-4SwqDmLtmXYiTMKHgktTP8We1SCoS47DrQ/edit?usp=sharing"",""จัดที่ดิน!G46"")"),144)</f>
        <v>144</v>
      </c>
      <c r="K370" s="497">
        <f t="shared" ca="1" si="163"/>
        <v>48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IFERROR(__xludf.DUMMYFUNCTION("IMPORTRANGE(""https://docs.google.com/spreadsheets/d/1XWAQStnk-4SwqDmLtmXYiTMKHgktTP8We1SCoS47DrQ/edit?usp=sharing"",""จัดที่ดิน!H46"")"),729.1)</f>
        <v>729.1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IFERROR(__xludf.DUMMYFUNCTION("IMPORTRANGE(""https://docs.google.com/spreadsheets/d/1QqKyyYR6Q21VydFLVH3TRQUabQu_ym0Zz7PgGX0-kHA/edit?usp=sharing"",""แผน!EJ46"")"),300)</f>
        <v>300</v>
      </c>
      <c r="J372" s="270">
        <f ca="1">IFERROR(__xludf.DUMMYFUNCTION("IMPORTRANGE(""https://docs.google.com/spreadsheets/d/1XWAQStnk-4SwqDmLtmXYiTMKHgktTP8We1SCoS47DrQ/edit?usp=sharing"",""จัดที่ดิน!I46"")"),146)</f>
        <v>146</v>
      </c>
      <c r="K372" s="497">
        <f t="shared" ca="1" si="163"/>
        <v>48.666666666666664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IFERROR(__xludf.DUMMYFUNCTION("IMPORTRANGE(""https://docs.google.com/spreadsheets/d/1XWAQStnk-4SwqDmLtmXYiTMKHgktTP8We1SCoS47DrQ/edit?usp=sharing"",""จัดที่ดิน!J46"")"),744.29)</f>
        <v>744.29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IFERROR(__xludf.DUMMYFUNCTION("IMPORTRANGE(""https://docs.google.com/spreadsheets/d/1QqKyyYR6Q21VydFLVH3TRQUabQu_ym0Zz7PgGX0-kHA/edit?usp=sharing"",""แผน!EU46"")"),1900)</f>
        <v>1900</v>
      </c>
      <c r="J374" s="490">
        <f ca="1">J381</f>
        <v>929</v>
      </c>
      <c r="K374" s="491">
        <f t="shared" ca="1" si="163"/>
        <v>48.89473684210526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IFERROR(__xludf.DUMMYFUNCTION("IMPORTRANGE(""https://docs.google.com/spreadsheets/d/1XWAQStnk-4SwqDmLtmXYiTMKHgktTP8We1SCoS47DrQ/edit?usp=sharing"",""จัดที่ดิน!AH46"")"),651)</f>
        <v>651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IFERROR(__xludf.DUMMYFUNCTION("IMPORTRANGE(""https://docs.google.com/spreadsheets/d/1QqKyyYR6Q21VydFLVH3TRQUabQu_ym0Zz7PgGX0-kHA/edit?usp=sharing"",""แผน!ET46"")"),7000)</f>
        <v>7000</v>
      </c>
      <c r="J378" s="270">
        <f ca="1">IFERROR(__xludf.DUMMYFUNCTION("IMPORTRANGE(""https://docs.google.com/spreadsheets/d/1XWAQStnk-4SwqDmLtmXYiTMKHgktTP8We1SCoS47DrQ/edit?usp=sharing"",""จัดที่ดิน!AI46"")"),4420.3)</f>
        <v>4420.3</v>
      </c>
      <c r="K378" s="497">
        <f t="shared" ca="1" si="164"/>
        <v>63.14714285714286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IFERROR(__xludf.DUMMYFUNCTION("IMPORTRANGE(""https://docs.google.com/spreadsheets/d/1QqKyyYR6Q21VydFLVH3TRQUabQu_ym0Zz7PgGX0-kHA/edit?usp=sharing"",""แผน!EU46"")"),1900)</f>
        <v>1900</v>
      </c>
      <c r="J379" s="270">
        <f ca="1">IFERROR(__xludf.DUMMYFUNCTION("IMPORTRANGE(""https://docs.google.com/spreadsheets/d/1XWAQStnk-4SwqDmLtmXYiTMKHgktTP8We1SCoS47DrQ/edit?usp=sharing"",""จัดที่ดิน!AJ46"")"),1238)</f>
        <v>1238</v>
      </c>
      <c r="K379" s="497">
        <f t="shared" ca="1" si="164"/>
        <v>65.15789473684211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IFERROR(__xludf.DUMMYFUNCTION("IMPORTRANGE(""https://docs.google.com/spreadsheets/d/1XWAQStnk-4SwqDmLtmXYiTMKHgktTP8We1SCoS47DrQ/edit?usp=sharing"",""จัดที่ดิน!AK46"")"),10370.69)</f>
        <v>10370.69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IFERROR(__xludf.DUMMYFUNCTION("IMPORTRANGE(""https://docs.google.com/spreadsheets/d/1QqKyyYR6Q21VydFLVH3TRQUabQu_ym0Zz7PgGX0-kHA/edit?usp=sharing"",""แผน!EU46"")"),1900)</f>
        <v>1900</v>
      </c>
      <c r="J381" s="270">
        <f ca="1">IFERROR(__xludf.DUMMYFUNCTION("IMPORTRANGE(""https://docs.google.com/spreadsheets/d/1XWAQStnk-4SwqDmLtmXYiTMKHgktTP8We1SCoS47DrQ/edit?usp=sharing"",""จัดที่ดิน!AL46"")"),929)</f>
        <v>929</v>
      </c>
      <c r="K381" s="497">
        <f t="shared" ca="1" si="164"/>
        <v>48.89473684210526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IFERROR(__xludf.DUMMYFUNCTION("IMPORTRANGE(""https://docs.google.com/spreadsheets/d/1XWAQStnk-4SwqDmLtmXYiTMKHgktTP8We1SCoS47DrQ/edit?usp=sharing"",""จัดที่ดิน!AM46"")"),8365.41)</f>
        <v>8365.41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IFERROR(__xludf.DUMMYFUNCTION("IMPORTRANGE(""https://docs.google.com/spreadsheets/d/1QqKyyYR6Q21VydFLVH3TRQUabQu_ym0Zz7PgGX0-kHA/edit?usp=sharing"",""แผน!EW46"")"),120)</f>
        <v>120</v>
      </c>
      <c r="J385" s="504">
        <f ca="1">IFERROR(__xludf.DUMMYFUNCTION("IMPORTRANGE(""https://docs.google.com/spreadsheets/d/1XWAQStnk-4SwqDmLtmXYiTMKHgktTP8We1SCoS47DrQ/edit?usp=sharing"",""จัดที่ดิน!AP46"")"),3)</f>
        <v>3</v>
      </c>
      <c r="K385" s="505">
        <f ca="1">IF(I385&gt;0,J385*100/I385,0)</f>
        <v>2.5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IFERROR(__xludf.DUMMYFUNCTION("IMPORTRANGE(""https://docs.google.com/spreadsheets/d/1MeEWN-I1oV_STSDYn1IFDPWt_1FKiwhDph83XaGc0o0/edit?usp=sharing"",""งบพรบ!FG46"")"),0)</f>
        <v>0</v>
      </c>
      <c r="M394" s="93">
        <f ca="1">IFERROR(__xludf.DUMMYFUNCTION("IMPORTRANGE(""https://docs.google.com/spreadsheets/d/1MeEWN-I1oV_STSDYn1IFDPWt_1FKiwhDph83XaGc0o0/edit?usp=sharing"",""งบพรบ!FL46"")"),0)</f>
        <v>0</v>
      </c>
      <c r="N394" s="93">
        <f ca="1">IFERROR(__xludf.DUMMYFUNCTION("IMPORTRANGE(""https://docs.google.com/spreadsheets/d/1MeEWN-I1oV_STSDYn1IFDPWt_1FKiwhDph83XaGc0o0/edit?usp=sharing"",""งบพรบ!FN46"")"),0)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IFERROR(__xludf.DUMMYFUNCTION("IMPORTRANGE(""https://docs.google.com/spreadsheets/d/1MeEWN-I1oV_STSDYn1IFDPWt_1FKiwhDph83XaGc0o0/edit?usp=sharing"",""งบพรบ!FJ46"")"),0)</f>
        <v>0</v>
      </c>
      <c r="M397" s="93">
        <f ca="1">IFERROR(__xludf.DUMMYFUNCTION("IMPORTRANGE(""https://docs.google.com/spreadsheets/d/1MeEWN-I1oV_STSDYn1IFDPWt_1FKiwhDph83XaGc0o0/edit?usp=sharing"",""งบพรบ!FM46"")"),0)</f>
        <v>0</v>
      </c>
      <c r="N397" s="93">
        <f ca="1">IFERROR(__xludf.DUMMYFUNCTION("IMPORTRANGE(""https://docs.google.com/spreadsheets/d/1MeEWN-I1oV_STSDYn1IFDPWt_1FKiwhDph83XaGc0o0/edit?usp=sharing"",""งบพรบ!FO46"")"),0)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IFERROR(__xludf.DUMMYFUNCTION("IMPORTRANGE(""https://docs.google.com/spreadsheets/d/1MeEWN-I1oV_STSDYn1IFDPWt_1FKiwhDph83XaGc0o0/edit?usp=sharing"",""งบพรบ!FQ46"")"),0)</f>
        <v>0</v>
      </c>
      <c r="M407" s="93">
        <f ca="1">IFERROR(__xludf.DUMMYFUNCTION("IMPORTRANGE(""https://docs.google.com/spreadsheets/d/1MeEWN-I1oV_STSDYn1IFDPWt_1FKiwhDph83XaGc0o0/edit?usp=sharing"",""งบพรบ!FV46"")"),0)</f>
        <v>0</v>
      </c>
      <c r="N407" s="93">
        <f ca="1">IFERROR(__xludf.DUMMYFUNCTION("IMPORTRANGE(""https://docs.google.com/spreadsheets/d/1MeEWN-I1oV_STSDYn1IFDPWt_1FKiwhDph83XaGc0o0/edit?usp=sharing"",""งบพรบ!FX46"")"),0)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IFERROR(__xludf.DUMMYFUNCTION("IMPORTRANGE(""https://docs.google.com/spreadsheets/d/1MeEWN-I1oV_STSDYn1IFDPWt_1FKiwhDph83XaGc0o0/edit?usp=sharing"",""งบพรบ!FT46"")"),0)</f>
        <v>0</v>
      </c>
      <c r="M410" s="93">
        <f ca="1">IFERROR(__xludf.DUMMYFUNCTION("IMPORTRANGE(""https://docs.google.com/spreadsheets/d/1MeEWN-I1oV_STSDYn1IFDPWt_1FKiwhDph83XaGc0o0/edit?usp=sharing"",""งบพรบ!FW46"")"),0)</f>
        <v>0</v>
      </c>
      <c r="N410" s="93">
        <f ca="1">IFERROR(__xludf.DUMMYFUNCTION("IMPORTRANGE(""https://docs.google.com/spreadsheets/d/1MeEWN-I1oV_STSDYn1IFDPWt_1FKiwhDph83XaGc0o0/edit?usp=sharing"",""งบพรบ!FY46"")"),0)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3223978</v>
      </c>
      <c r="M414" s="552">
        <f t="shared" ca="1" si="181"/>
        <v>3223978</v>
      </c>
      <c r="N414" s="552">
        <f t="shared" si="181"/>
        <v>2223110.7999999998</v>
      </c>
      <c r="O414" s="552">
        <f ca="1">IF(L414&gt;0,N414*100/L414,0)</f>
        <v>68.955520167941586</v>
      </c>
      <c r="P414" s="552">
        <f ca="1">IF(M414&gt;0,N414*100/M414,0)</f>
        <v>68.955520167941586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50</v>
      </c>
      <c r="J417" s="568">
        <f t="shared" ca="1" si="182"/>
        <v>50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161140</v>
      </c>
      <c r="M419" s="155">
        <f t="shared" ca="1" si="184"/>
        <v>161140</v>
      </c>
      <c r="N419" s="155">
        <f t="shared" si="184"/>
        <v>140667.29999999999</v>
      </c>
      <c r="O419" s="155">
        <f t="shared" ref="O419:O424" ca="1" si="185">IF(L419&gt;0,N419*100/L419,0)</f>
        <v>87.295085019237916</v>
      </c>
      <c r="P419" s="155">
        <f t="shared" ref="P419:P424" ca="1" si="186">IF(M419&gt;0,N419*100/M419,0)</f>
        <v>87.295085019237916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161140</v>
      </c>
      <c r="M421" s="93">
        <f t="shared" ca="1" si="187"/>
        <v>161140</v>
      </c>
      <c r="N421" s="93">
        <f t="shared" si="187"/>
        <v>140667.29999999999</v>
      </c>
      <c r="O421" s="93">
        <f t="shared" ca="1" si="185"/>
        <v>87.295085019237916</v>
      </c>
      <c r="P421" s="93">
        <f t="shared" ca="1" si="186"/>
        <v>87.295085019237916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161140</v>
      </c>
      <c r="M422" s="497">
        <f t="shared" ca="1" si="188"/>
        <v>161140</v>
      </c>
      <c r="N422" s="497">
        <f t="shared" si="188"/>
        <v>140667.29999999999</v>
      </c>
      <c r="O422" s="497">
        <f t="shared" ca="1" si="185"/>
        <v>87.295085019237916</v>
      </c>
      <c r="P422" s="497">
        <f t="shared" ca="1" si="186"/>
        <v>87.295085019237916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IFERROR(__xludf.DUMMYFUNCTION("IMPORTRANGE(""https://docs.google.com/spreadsheets/d/1QqKyyYR6Q21VydFLVH3TRQUabQu_ym0Zz7PgGX0-kHA/edit?usp=sharing"",""แผน!EY46"")"),161140)</f>
        <v>161140</v>
      </c>
      <c r="M424" s="93">
        <f ca="1">L424</f>
        <v>161140</v>
      </c>
      <c r="N424" s="93">
        <f>N425+N426+N427+N428</f>
        <v>140667.29999999999</v>
      </c>
      <c r="O424" s="93">
        <f t="shared" ca="1" si="185"/>
        <v>87.295085019237916</v>
      </c>
      <c r="P424" s="93">
        <f t="shared" ca="1" si="186"/>
        <v>87.295085019237916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130880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9787.2999999999993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50</v>
      </c>
      <c r="J433" s="679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IFERROR(__xludf.DUMMYFUNCTION("IMPORTRANGE(""https://docs.google.com/spreadsheets/d/1QqKyyYR6Q21VydFLVH3TRQUabQu_ym0Zz7PgGX0-kHA/edit?usp=sharing"",""แผน!FC46"")"),50)</f>
        <v>50</v>
      </c>
      <c r="J435" s="582">
        <v>50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IFERROR(__xludf.DUMMYFUNCTION("IMPORTRANGE(""https://docs.google.com/spreadsheets/d/1QqKyyYR6Q21VydFLVH3TRQUabQu_ym0Zz7PgGX0-kHA/edit?usp=sharing"",""แผน!FD46"")"),30)</f>
        <v>30</v>
      </c>
      <c r="J437" s="582">
        <v>30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15</v>
      </c>
      <c r="J442" s="588">
        <f t="shared" si="195"/>
        <v>15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181560</v>
      </c>
      <c r="M444" s="195">
        <f t="shared" ca="1" si="197"/>
        <v>181560</v>
      </c>
      <c r="N444" s="195">
        <f t="shared" si="197"/>
        <v>158390</v>
      </c>
      <c r="O444" s="195">
        <f t="shared" ref="O444:O449" ca="1" si="198">IF(L444&gt;0,N444*100/L444,0)</f>
        <v>87.2383784974664</v>
      </c>
      <c r="P444" s="195">
        <f t="shared" ref="P444:P449" ca="1" si="199">IF(M444&gt;0,N444*100/M444,0)</f>
        <v>87.2383784974664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181560</v>
      </c>
      <c r="M446" s="93">
        <f t="shared" ca="1" si="200"/>
        <v>181560</v>
      </c>
      <c r="N446" s="93">
        <f t="shared" si="200"/>
        <v>158390</v>
      </c>
      <c r="O446" s="93">
        <f t="shared" ca="1" si="198"/>
        <v>87.2383784974664</v>
      </c>
      <c r="P446" s="93">
        <f t="shared" ca="1" si="199"/>
        <v>87.2383784974664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181560</v>
      </c>
      <c r="M447" s="497">
        <f t="shared" ca="1" si="201"/>
        <v>181560</v>
      </c>
      <c r="N447" s="497">
        <f t="shared" si="201"/>
        <v>158390</v>
      </c>
      <c r="O447" s="497">
        <f t="shared" ca="1" si="198"/>
        <v>87.2383784974664</v>
      </c>
      <c r="P447" s="497">
        <f t="shared" ca="1" si="199"/>
        <v>87.2383784974664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IFERROR(__xludf.DUMMYFUNCTION("IMPORTRANGE(""https://docs.google.com/spreadsheets/d/1QqKyyYR6Q21VydFLVH3TRQUabQu_ym0Zz7PgGX0-kHA/edit?usp=sharing"",""แผน!FJ46"")"),181560)</f>
        <v>181560</v>
      </c>
      <c r="M449" s="93">
        <f ca="1">L449</f>
        <v>181560</v>
      </c>
      <c r="N449" s="93">
        <f>N450+N451+N452+N453</f>
        <v>158390</v>
      </c>
      <c r="O449" s="93">
        <f t="shared" ca="1" si="198"/>
        <v>87.2383784974664</v>
      </c>
      <c r="P449" s="93">
        <f t="shared" ca="1" si="199"/>
        <v>87.2383784974664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22085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125000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11305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IFERROR(__xludf.DUMMYFUNCTION("IMPORTRANGE(""https://docs.google.com/spreadsheets/d/1QqKyyYR6Q21VydFLVH3TRQUabQu_ym0Zz7PgGX0-kHA/edit?usp=sharing"",""แผน!FO46"")"),150)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IFERROR(__xludf.DUMMYFUNCTION("IMPORTRANGE(""https://docs.google.com/spreadsheets/d/1QqKyyYR6Q21VydFLVH3TRQUabQu_ym0Zz7PgGX0-kHA/edit?usp=sharing"",""แผน!FO46"")"),150)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IFERROR(__xludf.DUMMYFUNCTION("IMPORTRANGE(""https://docs.google.com/spreadsheets/d/1QqKyyYR6Q21VydFLVH3TRQUabQu_ym0Zz7PgGX0-kHA/edit?usp=sharing"",""แผน!FN46"")"),15)</f>
        <v>15</v>
      </c>
      <c r="J464" s="215">
        <v>15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IFERROR(__xludf.DUMMYFUNCTION("IMPORTRANGE(""https://docs.google.com/spreadsheets/d/1QqKyyYR6Q21VydFLVH3TRQUabQu_ym0Zz7PgGX0-kHA/edit?usp=sharing"",""แผน!FX46"")"),131)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IFERROR(__xludf.DUMMYFUNCTION("IMPORTRANGE(""https://docs.google.com/spreadsheets/d/1QqKyyYR6Q21VydFLVH3TRQUabQu_ym0Zz7PgGX0-kHA/edit?usp=sharing"",""แผน!FW46"")"),1300)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1169908</v>
      </c>
      <c r="M467" s="195">
        <f t="shared" ca="1" si="206"/>
        <v>1169908</v>
      </c>
      <c r="N467" s="195">
        <f t="shared" si="206"/>
        <v>1071665</v>
      </c>
      <c r="O467" s="195">
        <f t="shared" ref="O467:O472" ca="1" si="207">IF(L467&gt;0,N467*100/L467,0)</f>
        <v>91.602502077086399</v>
      </c>
      <c r="P467" s="195">
        <f t="shared" ref="P467:P472" ca="1" si="208">IF(M467&gt;0,N467*100/M467,0)</f>
        <v>91.602502077086399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1169908</v>
      </c>
      <c r="M469" s="93">
        <f t="shared" ca="1" si="209"/>
        <v>1169908</v>
      </c>
      <c r="N469" s="93">
        <f t="shared" si="209"/>
        <v>1071665</v>
      </c>
      <c r="O469" s="93">
        <f t="shared" ca="1" si="207"/>
        <v>91.602502077086399</v>
      </c>
      <c r="P469" s="93">
        <f t="shared" ca="1" si="208"/>
        <v>91.602502077086399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1169908</v>
      </c>
      <c r="M470" s="497">
        <f t="shared" ca="1" si="210"/>
        <v>1169908</v>
      </c>
      <c r="N470" s="497">
        <f t="shared" si="210"/>
        <v>1071665</v>
      </c>
      <c r="O470" s="497">
        <f t="shared" ca="1" si="207"/>
        <v>91.602502077086399</v>
      </c>
      <c r="P470" s="497">
        <f t="shared" ca="1" si="208"/>
        <v>91.602502077086399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IFERROR(__xludf.DUMMYFUNCTION("IMPORTRANGE(""https://docs.google.com/spreadsheets/d/1QqKyyYR6Q21VydFLVH3TRQUabQu_ym0Zz7PgGX0-kHA/edit?usp=sharing"",""แผน!FS46"")"),1169908)</f>
        <v>1169908</v>
      </c>
      <c r="M472" s="93">
        <f ca="1">L472</f>
        <v>1169908</v>
      </c>
      <c r="N472" s="93">
        <f>N473+N474+N475+N476</f>
        <v>1071665</v>
      </c>
      <c r="O472" s="93">
        <f t="shared" ca="1" si="207"/>
        <v>91.602502077086399</v>
      </c>
      <c r="P472" s="93">
        <f t="shared" ca="1" si="208"/>
        <v>91.602502077086399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163613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810000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76320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21732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IFERROR(__xludf.DUMMYFUNCTION("IMPORTRANGE(""https://docs.google.com/spreadsheets/d/1QqKyyYR6Q21VydFLVH3TRQUabQu_ym0Zz7PgGX0-kHA/edit?usp=sharing"",""แผน!FY46"")"),1170)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160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IFERROR(__xludf.DUMMYFUNCTION("IMPORTRANGE(""https://docs.google.com/spreadsheets/d/1QqKyyYR6Q21VydFLVH3TRQUabQu_ym0Zz7PgGX0-kHA/edit?usp=sharing"",""แผน!FZ46"")"),117)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IFERROR(__xludf.DUMMYFUNCTION("IMPORTRANGE(""https://docs.google.com/spreadsheets/d/1QqKyyYR6Q21VydFLVH3TRQUabQu_ym0Zz7PgGX0-kHA/edit?usp=sharing"",""แผน!GA46"")"),130)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9.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IFERROR(__xludf.DUMMYFUNCTION("IMPORTRANGE(""https://docs.google.com/spreadsheets/d/1QqKyyYR6Q21VydFLVH3TRQUabQu_ym0Zz7PgGX0-kHA/edit?usp=sharing"",""แผน!GB46"")"),13)</f>
        <v>13</v>
      </c>
      <c r="J489" s="916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IFERROR(__xludf.DUMMYFUNCTION("IMPORTRANGE(""https://docs.google.com/spreadsheets/d/1QqKyyYR6Q21VydFLVH3TRQUabQu_ym0Zz7PgGX0-kHA/edit?usp=sharing"",""แผน!FY46"")"),1170)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IFERROR(__xludf.DUMMYFUNCTION("IMPORTRANGE(""https://docs.google.com/spreadsheets/d/1QqKyyYR6Q21VydFLVH3TRQUabQu_ym0Zz7PgGX0-kHA/edit?usp=sharing"",""แผน!GA46"")"),130)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IFERROR(__xludf.DUMMYFUNCTION("IMPORTRANGE(""https://docs.google.com/spreadsheets/d/1QqKyyYR6Q21VydFLVH3TRQUabQu_ym0Zz7PgGX0-kHA/edit?usp=sharing"",""แผน!GU46"")"),0)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73156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594850</v>
      </c>
      <c r="M544" s="155">
        <f t="shared" ca="1" si="236"/>
        <v>594850</v>
      </c>
      <c r="N544" s="155">
        <f t="shared" si="236"/>
        <v>309461.5</v>
      </c>
      <c r="O544" s="155">
        <f t="shared" ref="O544:O549" ca="1" si="237">IF(L544&gt;0,N544*100/L544,0)</f>
        <v>52.02345129024124</v>
      </c>
      <c r="P544" s="155">
        <f t="shared" ref="P544:P549" ca="1" si="238">IF(M544&gt;0,N544*100/M544,0)</f>
        <v>52.02345129024124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594850</v>
      </c>
      <c r="M546" s="93">
        <f t="shared" ca="1" si="240"/>
        <v>594850</v>
      </c>
      <c r="N546" s="93">
        <f t="shared" si="240"/>
        <v>309461.5</v>
      </c>
      <c r="O546" s="93">
        <f t="shared" ca="1" si="237"/>
        <v>52.02345129024124</v>
      </c>
      <c r="P546" s="93">
        <f t="shared" ca="1" si="238"/>
        <v>52.02345129024124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594850</v>
      </c>
      <c r="M547" s="497">
        <f t="shared" ca="1" si="241"/>
        <v>594850</v>
      </c>
      <c r="N547" s="497">
        <f t="shared" si="241"/>
        <v>309461.5</v>
      </c>
      <c r="O547" s="497">
        <f t="shared" ca="1" si="237"/>
        <v>52.02345129024124</v>
      </c>
      <c r="P547" s="497">
        <f t="shared" ca="1" si="238"/>
        <v>52.02345129024124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IFERROR(__xludf.DUMMYFUNCTION("IMPORTRANGE(""https://docs.google.com/spreadsheets/d/1QqKyyYR6Q21VydFLVH3TRQUabQu_ym0Zz7PgGX0-kHA/edit?usp=sharing"",""แผน!HB46"")"),594850)</f>
        <v>594850</v>
      </c>
      <c r="M549" s="93">
        <f ca="1">L549</f>
        <v>594850</v>
      </c>
      <c r="N549" s="93">
        <f>N550+N551+N552+N553+N554</f>
        <v>309461.5</v>
      </c>
      <c r="O549" s="93">
        <f t="shared" ca="1" si="237"/>
        <v>52.02345129024124</v>
      </c>
      <c r="P549" s="93">
        <f t="shared" ca="1" si="238"/>
        <v>52.02345129024124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76320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233141.5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73156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IFERROR(__xludf.DUMMYFUNCTION("IMPORTRANGE(""https://docs.google.com/spreadsheets/d/1QqKyyYR6Q21VydFLVH3TRQUabQu_ym0Zz7PgGX0-kHA/edit?usp=sharing"",""แผน!HH46"")"),73156)</f>
        <v>73156</v>
      </c>
      <c r="J560" s="193">
        <f t="shared" ref="J560:J561" si="247">J562+J564+J566</f>
        <v>73156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IFERROR(__xludf.DUMMYFUNCTION("IMPORTRANGE(""https://docs.google.com/spreadsheets/d/1QqKyyYR6Q21VydFLVH3TRQUabQu_ym0Zz7PgGX0-kHA/edit?usp=sharing"",""แผน!HG46"")"),11185)</f>
        <v>11185</v>
      </c>
      <c r="J561" s="193">
        <f t="shared" si="247"/>
        <v>11185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51083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8859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18673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1845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3400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481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IFERROR(__xludf.DUMMYFUNCTION("IMPORTRANGE(""https://docs.google.com/spreadsheets/d/1QqKyyYR6Q21VydFLVH3TRQUabQu_ym0Zz7PgGX0-kHA/edit?usp=sharing"",""แผน!HH46"")"),73156)</f>
        <v>73156</v>
      </c>
      <c r="J568" s="679">
        <f t="shared" ref="J568:J569" si="248">J570+J572+J574</f>
        <v>73157</v>
      </c>
      <c r="K568" s="411">
        <f t="shared" ref="K568:K569" ca="1" si="249">IF(I568&gt;0,J568*100/I568,0)</f>
        <v>100.00136694187763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IFERROR(__xludf.DUMMYFUNCTION("IMPORTRANGE(""https://docs.google.com/spreadsheets/d/1QqKyyYR6Q21VydFLVH3TRQUabQu_ym0Zz7PgGX0-kHA/edit?usp=sharing"",""แผน!HG46"")"),11185)</f>
        <v>11185</v>
      </c>
      <c r="J569" s="679">
        <f t="shared" si="248"/>
        <v>11185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56914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9466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12055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1158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4188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561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IFERROR(__xludf.DUMMYFUNCTION("IMPORTRANGE(""https://docs.google.com/spreadsheets/d/1QqKyyYR6Q21VydFLVH3TRQUabQu_ym0Zz7PgGX0-kHA/edit?usp=sharing"",""แผน!HH46"")"),73156)</f>
        <v>73156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IFERROR(__xludf.DUMMYFUNCTION("IMPORTRANGE(""https://docs.google.com/spreadsheets/d/1QqKyyYR6Q21VydFLVH3TRQUabQu_ym0Zz7PgGX0-kHA/edit?usp=sharing"",""แผน!HG46"")"),11185)</f>
        <v>11185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4240.6499999999996</v>
      </c>
      <c r="J592" s="706">
        <f t="shared" si="253"/>
        <v>2223</v>
      </c>
      <c r="K592" s="675">
        <f t="shared" ref="K592:K594" ca="1" si="254">IF(I592&gt;0,J592*100/I592,0)</f>
        <v>52.421209012769275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IFERROR(__xludf.DUMMYFUNCTION("IMPORTRANGE(""https://docs.google.com/spreadsheets/d/1QqKyyYR6Q21VydFLVH3TRQUabQu_ym0Zz7PgGX0-kHA/edit?usp=sharing"",""แผน!HJ46"")"),4240.65)</f>
        <v>4240.6499999999996</v>
      </c>
      <c r="J593" s="193">
        <f t="shared" ref="J593:J594" si="255">J595+J603+J609</f>
        <v>2223</v>
      </c>
      <c r="K593" s="411">
        <f t="shared" ca="1" si="254"/>
        <v>52.421209012769275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IFERROR(__xludf.DUMMYFUNCTION("IMPORTRANGE(""https://docs.google.com/spreadsheets/d/1QqKyyYR6Q21VydFLVH3TRQUabQu_ym0Zz7PgGX0-kHA/edit?usp=sharing"",""แผน!HI46"")"),384)</f>
        <v>384</v>
      </c>
      <c r="J594" s="193">
        <f t="shared" si="255"/>
        <v>248</v>
      </c>
      <c r="K594" s="411">
        <f t="shared" ca="1" si="254"/>
        <v>64.583333333333329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2209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246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555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1654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180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14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14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IFERROR(__xludf.DUMMYFUNCTION("IMPORTRANGE(""https://docs.google.com/spreadsheets/d/1QqKyyYR6Q21VydFLVH3TRQUabQu_ym0Zz7PgGX0-kHA/edit?usp=sharing"",""แผน!HL46"")"),73)</f>
        <v>73</v>
      </c>
      <c r="J620" s="726">
        <f t="shared" ref="J620:J621" si="260">J622+J624+J626</f>
        <v>73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IFERROR(__xludf.DUMMYFUNCTION("IMPORTRANGE(""https://docs.google.com/spreadsheets/d/1QqKyyYR6Q21VydFLVH3TRQUabQu_ym0Zz7PgGX0-kHA/edit?usp=sharing"",""แผน!HK46"")"),8)</f>
        <v>8</v>
      </c>
      <c r="J621" s="726">
        <f t="shared" si="260"/>
        <v>8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44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5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700</v>
      </c>
      <c r="J628" s="739">
        <f t="shared" ca="1" si="262"/>
        <v>261</v>
      </c>
      <c r="K628" s="740">
        <f ca="1">IF(I628&gt;0,J628*100/I628,0)</f>
        <v>37.285714285714285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873460</v>
      </c>
      <c r="M629" s="195">
        <f t="shared" ca="1" si="263"/>
        <v>873460</v>
      </c>
      <c r="N629" s="195">
        <f t="shared" si="263"/>
        <v>438688</v>
      </c>
      <c r="O629" s="195">
        <f t="shared" ref="O629:O634" ca="1" si="264">IF(L629&gt;0,N629*100/L629,0)</f>
        <v>50.224165960662191</v>
      </c>
      <c r="P629" s="195">
        <f t="shared" ref="P629:P634" ca="1" si="265">IF(M629&gt;0,N629*100/M629,0)</f>
        <v>50.224165960662191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873460</v>
      </c>
      <c r="M631" s="93">
        <f t="shared" ca="1" si="266"/>
        <v>873460</v>
      </c>
      <c r="N631" s="93">
        <f t="shared" si="266"/>
        <v>438688</v>
      </c>
      <c r="O631" s="93">
        <f t="shared" ca="1" si="264"/>
        <v>50.224165960662191</v>
      </c>
      <c r="P631" s="93">
        <f t="shared" ca="1" si="265"/>
        <v>50.224165960662191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873460</v>
      </c>
      <c r="M632" s="497">
        <f t="shared" ca="1" si="267"/>
        <v>873460</v>
      </c>
      <c r="N632" s="497">
        <f t="shared" si="267"/>
        <v>438688</v>
      </c>
      <c r="O632" s="497">
        <f t="shared" ca="1" si="264"/>
        <v>50.224165960662191</v>
      </c>
      <c r="P632" s="497">
        <f t="shared" ca="1" si="265"/>
        <v>50.224165960662191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IFERROR(__xludf.DUMMYFUNCTION("IMPORTRANGE(""https://docs.google.com/spreadsheets/d/1QqKyyYR6Q21VydFLVH3TRQUabQu_ym0Zz7PgGX0-kHA/edit?usp=sharing"",""แผน!HN46"")"),873460)</f>
        <v>873460</v>
      </c>
      <c r="M634" s="93">
        <f ca="1">L634</f>
        <v>873460</v>
      </c>
      <c r="N634" s="93">
        <f>N635+N636+N637+N638</f>
        <v>438688</v>
      </c>
      <c r="O634" s="93">
        <f t="shared" ca="1" si="264"/>
        <v>50.224165960662191</v>
      </c>
      <c r="P634" s="93">
        <f t="shared" ca="1" si="265"/>
        <v>50.224165960662191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155580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283108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IFERROR(__xludf.DUMMYFUNCTION("IMPORTRANGE(""https://docs.google.com/spreadsheets/d/1XWAQStnk-4SwqDmLtmXYiTMKHgktTP8We1SCoS47DrQ/edit?usp=sharing"",""จัดที่ดิน!AS46"")"),302)</f>
        <v>302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IFERROR(__xludf.DUMMYFUNCTION("IMPORTRANGE(""https://docs.google.com/spreadsheets/d/1XWAQStnk-4SwqDmLtmXYiTMKHgktTP8We1SCoS47DrQ/edit?usp=sharing"",""จัดที่ดิน!AT46"")"),215.27)</f>
        <v>215.27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IFERROR(__xludf.DUMMYFUNCTION("IMPORTRANGE(""https://docs.google.com/spreadsheets/d/1QqKyyYR6Q21VydFLVH3TRQUabQu_ym0Zz7PgGX0-kHA/edit?usp=sharing"",""แผน!HS46"")"),700)</f>
        <v>700</v>
      </c>
      <c r="J647" s="270">
        <f ca="1">IFERROR(__xludf.DUMMYFUNCTION("IMPORTRANGE(""https://docs.google.com/spreadsheets/d/1XWAQStnk-4SwqDmLtmXYiTMKHgktTP8We1SCoS47DrQ/edit?usp=sharing"",""จัดที่ดิน!AU46"")"),260)</f>
        <v>260</v>
      </c>
      <c r="K647" s="163">
        <f t="shared" ca="1" si="271"/>
        <v>37.142857142857146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IFERROR(__xludf.DUMMYFUNCTION("IMPORTRANGE(""https://docs.google.com/spreadsheets/d/1XWAQStnk-4SwqDmLtmXYiTMKHgktTP8We1SCoS47DrQ/edit?usp=sharing"",""จัดที่ดิน!AV46"")"),192.24)</f>
        <v>192.24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IFERROR(__xludf.DUMMYFUNCTION("IMPORTRANGE(""https://docs.google.com/spreadsheets/d/1QqKyyYR6Q21VydFLVH3TRQUabQu_ym0Zz7PgGX0-kHA/edit?usp=sharing"",""แผน!HS46"")"),700)</f>
        <v>700</v>
      </c>
      <c r="J649" s="270">
        <f ca="1">IFERROR(__xludf.DUMMYFUNCTION("IMPORTRANGE(""https://docs.google.com/spreadsheets/d/1XWAQStnk-4SwqDmLtmXYiTMKHgktTP8We1SCoS47DrQ/edit?usp=sharing"",""จัดที่ดิน!AW46"")"),263)</f>
        <v>263</v>
      </c>
      <c r="K649" s="163">
        <f t="shared" ca="1" si="271"/>
        <v>37.571428571428569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IFERROR(__xludf.DUMMYFUNCTION("IMPORTRANGE(""https://docs.google.com/spreadsheets/d/1XWAQStnk-4SwqDmLtmXYiTMKHgktTP8We1SCoS47DrQ/edit?usp=sharing"",""จัดที่ดิน!AX46"")"),194.31)</f>
        <v>194.31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IFERROR(__xludf.DUMMYFUNCTION("IMPORTRANGE(""https://docs.google.com/spreadsheets/d/1QqKyyYR6Q21VydFLVH3TRQUabQu_ym0Zz7PgGX0-kHA/edit?usp=sharing"",""แผน!HS46"")"),700)</f>
        <v>700</v>
      </c>
      <c r="J651" s="270">
        <f ca="1">IFERROR(__xludf.DUMMYFUNCTION("IMPORTRANGE(""https://docs.google.com/spreadsheets/d/1XWAQStnk-4SwqDmLtmXYiTMKHgktTP8We1SCoS47DrQ/edit?usp=sharing"",""จัดที่ดิน!AY46"")"),261)</f>
        <v>261</v>
      </c>
      <c r="K651" s="163">
        <f t="shared" ca="1" si="271"/>
        <v>37.285714285714285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IFERROR(__xludf.DUMMYFUNCTION("IMPORTRANGE(""https://docs.google.com/spreadsheets/d/1XWAQStnk-4SwqDmLtmXYiTMKHgktTP8We1SCoS47DrQ/edit?usp=sharing"",""จัดที่ดิน!AZ46"")"),185.365)</f>
        <v>185.36500000000001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12860</v>
      </c>
      <c r="O655" s="195">
        <f t="shared" ref="O655:O660" ca="1" si="274">IF(L655&gt;0,N655*100/L655,0)</f>
        <v>82.435897435897431</v>
      </c>
      <c r="P655" s="195">
        <f t="shared" ref="P655:P660" ca="1" si="275">IF(M655&gt;0,N655*100/M655,0)</f>
        <v>82.435897435897431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12860</v>
      </c>
      <c r="O657" s="93">
        <f t="shared" ca="1" si="274"/>
        <v>82.435897435897431</v>
      </c>
      <c r="P657" s="93">
        <f t="shared" ca="1" si="275"/>
        <v>82.435897435897431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12860</v>
      </c>
      <c r="O658" s="497">
        <f t="shared" ca="1" si="274"/>
        <v>82.435897435897431</v>
      </c>
      <c r="P658" s="497">
        <f t="shared" ca="1" si="275"/>
        <v>82.435897435897431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IFERROR(__xludf.DUMMYFUNCTION("IMPORTRANGE(""https://docs.google.com/spreadsheets/d/1QqKyyYR6Q21VydFLVH3TRQUabQu_ym0Zz7PgGX0-kHA/edit?usp=sharing"",""แผน!HV46"")"),15600)</f>
        <v>15600</v>
      </c>
      <c r="M660" s="93">
        <f ca="1">L660</f>
        <v>15600</v>
      </c>
      <c r="N660" s="93">
        <f>N661+N662+N663+N664</f>
        <v>12860</v>
      </c>
      <c r="O660" s="93">
        <f t="shared" ca="1" si="274"/>
        <v>82.435897435897431</v>
      </c>
      <c r="P660" s="93">
        <f t="shared" ca="1" si="275"/>
        <v>82.435897435897431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12860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IFERROR(__xludf.DUMMYFUNCTION("IMPORTRANGE(""https://docs.google.com/spreadsheets/d/1QqKyyYR6Q21VydFLVH3TRQUabQu_ym0Zz7PgGX0-kHA/edit?usp=sharing"",""แผน!IA46"")"),100)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64.400000000000006</v>
      </c>
      <c r="K672" s="497">
        <f t="shared" ref="K672:K675" ca="1" si="281">IF(I$669&gt;0,J672*100/I$669,0)</f>
        <v>64.400000000000006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64</v>
      </c>
      <c r="K673" s="497">
        <f t="shared" ca="1" si="281"/>
        <v>64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64</v>
      </c>
      <c r="K674" s="497">
        <f t="shared" ca="1" si="281"/>
        <v>64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13540</v>
      </c>
      <c r="M685" s="195">
        <f t="shared" ca="1" si="282"/>
        <v>13540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13540</v>
      </c>
      <c r="M687" s="93">
        <f t="shared" ca="1" si="285"/>
        <v>13540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13540</v>
      </c>
      <c r="M688" s="497">
        <f t="shared" ca="1" si="286"/>
        <v>13540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IFERROR(__xludf.DUMMYFUNCTION("IMPORTRANGE(""https://docs.google.com/spreadsheets/d/1QqKyyYR6Q21VydFLVH3TRQUabQu_ym0Zz7PgGX0-kHA/edit?usp=sharing"",""แผน!HW46"")"),13540)</f>
        <v>13540</v>
      </c>
      <c r="M690" s="93">
        <f ca="1">L690</f>
        <v>13540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IFERROR(__xludf.DUMMYFUNCTION("IMPORTRANGE(""https://docs.google.com/spreadsheets/d/1QqKyyYR6Q21VydFLVH3TRQUabQu_ym0Zz7PgGX0-kHA/edit?usp=sharing"",""แผน!IC46"")"),0)</f>
        <v>0</v>
      </c>
      <c r="J699" s="270">
        <f ca="1">IFERROR(__xludf.DUMMYFUNCTION("IMPORTRANGE(""https://docs.google.com/spreadsheets/d/1XWAQStnk-4SwqDmLtmXYiTMKHgktTP8We1SCoS47DrQ/edit?usp=sharing"",""จัดที่ดิน!BB46"")"),0)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IFERROR(__xludf.DUMMYFUNCTION("IMPORTRANGE(""https://docs.google.com/spreadsheets/d/1QqKyyYR6Q21VydFLVH3TRQUabQu_ym0Zz7PgGX0-kHA/edit?usp=sharing"",""แผน!ID46"")"),15)</f>
        <v>15</v>
      </c>
      <c r="J700" s="270">
        <f ca="1">IFERROR(__xludf.DUMMYFUNCTION("IMPORTRANGE(""https://docs.google.com/spreadsheets/d/1XWAQStnk-4SwqDmLtmXYiTMKHgktTP8We1SCoS47DrQ/edit?usp=sharing"",""จัดที่ดิน!BD46"")"),12)</f>
        <v>12</v>
      </c>
      <c r="K700" s="497">
        <f t="shared" ca="1" si="290"/>
        <v>80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IFERROR(__xludf.DUMMYFUNCTION("IMPORTRANGE(""https://docs.google.com/spreadsheets/d/1QqKyyYR6Q21VydFLVH3TRQUabQu_ym0Zz7PgGX0-kHA/edit?usp=sharing"",""แผน!IE46"")"),0)</f>
        <v>0</v>
      </c>
      <c r="J701" s="679">
        <f>J704+J707</f>
        <v>100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10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10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IFERROR(__xludf.DUMMYFUNCTION("IMPORTRANGE(""https://docs.google.com/spreadsheets/d/1QqKyyYR6Q21VydFLVH3TRQUabQu_ym0Zz7PgGX0-kHA/edit?usp=sharing"",""แผน!IG46"")"),0)</f>
        <v>0</v>
      </c>
      <c r="J707" s="215">
        <v>100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IFERROR(__xludf.DUMMYFUNCTION("IMPORTRANGE(""https://docs.google.com/spreadsheets/d/1QqKyyYR6Q21VydFLVH3TRQUabQu_ym0Zz7PgGX0-kHA/edit?usp=sharing"",""แผน!IH46"")"),342)</f>
        <v>342</v>
      </c>
      <c r="J708" s="679">
        <f>J714+J717</f>
        <v>334</v>
      </c>
      <c r="K708" s="195">
        <f ca="1">IF(I708&gt;0,J708*100/I708,0)</f>
        <v>97.660818713450297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17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17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334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IFERROR(__xludf.DUMMYFUNCTION("IMPORTRANGE(""https://docs.google.com/spreadsheets/d/1XWAQStnk-4SwqDmLtmXYiTMKHgktTP8We1SCoS47DrQ/edit?usp=sharing"",""จัดที่ดิน!BF46"")"),8)</f>
        <v>8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IFERROR(__xludf.DUMMYFUNCTION("IMPORTRANGE(""https://docs.google.com/spreadsheets/d/1XWAQStnk-4SwqDmLtmXYiTMKHgktTP8We1SCoS47DrQ/edit?usp=sharing"",""จัดที่ดิน!BG46"")"),8)</f>
        <v>8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IFERROR(__xludf.DUMMYFUNCTION("IMPORTRANGE(""https://docs.google.com/spreadsheets/d/1QqKyyYR6Q21VydFLVH3TRQUabQu_ym0Zz7PgGX0-kHA/edit?usp=sharing"",""แผน!II46"")"),130)</f>
        <v>130</v>
      </c>
      <c r="J720" s="270">
        <f ca="1">IFERROR(__xludf.DUMMYFUNCTION("IMPORTRANGE(""https://docs.google.com/spreadsheets/d/1XWAQStnk-4SwqDmLtmXYiTMKHgktTP8We1SCoS47DrQ/edit?usp=sharing"",""จัดที่ดิน!BH46"")"),79.83)</f>
        <v>79.83</v>
      </c>
      <c r="K720" s="497">
        <f t="shared" ref="K720:K723" ca="1" si="291">IF(I720&gt;0,J720*100/I720,0)</f>
        <v>61.407692307692308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IFERROR(__xludf.DUMMYFUNCTION("IMPORTRANGE(""https://docs.google.com/spreadsheets/d/1QqKyyYR6Q21VydFLVH3TRQUabQu_ym0Zz7PgGX0-kHA/edit?usp=sharing"",""แผน!IL46"")"),0)</f>
        <v>0</v>
      </c>
      <c r="J723" s="270">
        <f ca="1">IFERROR(__xludf.DUMMYFUNCTION("IMPORTRANGE(""https://docs.google.com/spreadsheets/d/1XWAQStnk-4SwqDmLtmXYiTMKHgktTP8We1SCoS47DrQ/edit?usp=sharing"",""จัดที่ดิน!BM46"")"),0)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IFERROR(__xludf.DUMMYFUNCTION("IMPORTRANGE(""https://docs.google.com/spreadsheets/d/1QqKyyYR6Q21VydFLVH3TRQUabQu_ym0Zz7PgGX0-kHA/edit?usp=sharing"",""แผน!IM46"")"),0)</f>
        <v>0</v>
      </c>
      <c r="J725" s="270">
        <f ca="1">IFERROR(__xludf.DUMMYFUNCTION("IMPORTRANGE(""https://docs.google.com/spreadsheets/d/1XWAQStnk-4SwqDmLtmXYiTMKHgktTP8We1SCoS47DrQ/edit?usp=sharing"",""จัดที่ดิน!BO46"")"),0)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IFERROR(__xludf.DUMMYFUNCTION("IMPORTRANGE(""https://docs.google.com/spreadsheets/d/1QqKyyYR6Q21VydFLVH3TRQUabQu_ym0Zz7PgGX0-kHA/edit?usp=sharing"",""แผน!IN46"")"),0)</f>
        <v>0</v>
      </c>
      <c r="J726" s="270">
        <f ca="1">IFERROR(__xludf.DUMMYFUNCTION("IMPORTRANGE(""https://docs.google.com/spreadsheets/d/1XWAQStnk-4SwqDmLtmXYiTMKHgktTP8We1SCoS47DrQ/edit?usp=sharing"",""จัดที่ดิน!BR46"")"),0)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IFERROR(__xludf.DUMMYFUNCTION("IMPORTRANGE(""https://docs.google.com/spreadsheets/d/1QqKyyYR6Q21VydFLVH3TRQUabQu_ym0Zz7PgGX0-kHA/edit?usp=sharing"",""แผน!IO46"")"),0)</f>
        <v>0</v>
      </c>
      <c r="J728" s="270">
        <f ca="1">IFERROR(__xludf.DUMMYFUNCTION("IMPORTRANGE(""https://docs.google.com/spreadsheets/d/1XWAQStnk-4SwqDmLtmXYiTMKHgktTP8We1SCoS47DrQ/edit?usp=sharing"",""จัดที่ดิน!BT46"")"),0)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1438</v>
      </c>
      <c r="K785" s="806">
        <f ca="1">IF(I785&gt;0,J785*100/I785,0)</f>
        <v>47.93333333333333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91379</v>
      </c>
      <c r="O786" s="195">
        <f t="shared" ref="O786:O791" ca="1" si="320">IF(L786&gt;0,N786*100/L786,0)</f>
        <v>42.716436050860132</v>
      </c>
      <c r="P786" s="195">
        <f t="shared" ref="P786:P791" ca="1" si="321">IF(M786&gt;0,N786*100/M786,0)</f>
        <v>42.716436050860132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91379</v>
      </c>
      <c r="O788" s="93">
        <f t="shared" ca="1" si="320"/>
        <v>42.716436050860132</v>
      </c>
      <c r="P788" s="93">
        <f t="shared" ca="1" si="321"/>
        <v>42.716436050860132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91379</v>
      </c>
      <c r="O789" s="497">
        <f t="shared" ca="1" si="320"/>
        <v>42.716436050860132</v>
      </c>
      <c r="P789" s="497">
        <f t="shared" ca="1" si="321"/>
        <v>42.716436050860132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IFERROR(__xludf.DUMMYFUNCTION("IMPORTRANGE(""https://docs.google.com/spreadsheets/d/1QqKyyYR6Q21VydFLVH3TRQUabQu_ym0Zz7PgGX0-kHA/edit?usp=sharing"",""แผน!JJ46"")"),213920)</f>
        <v>213920</v>
      </c>
      <c r="M791" s="93">
        <f ca="1">L791</f>
        <v>213920</v>
      </c>
      <c r="N791" s="93">
        <f>N792+N793+N794+N795</f>
        <v>91379</v>
      </c>
      <c r="O791" s="93">
        <f t="shared" ca="1" si="320"/>
        <v>42.716436050860132</v>
      </c>
      <c r="P791" s="93">
        <f t="shared" ca="1" si="321"/>
        <v>42.716436050860132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21341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70038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IFERROR(__xludf.DUMMYFUNCTION("IMPORTRANGE(""https://docs.google.com/spreadsheets/d/1MaWodYyGHDf7siQLGxnXhG4mBNTNIuy296niS2xXulU/edit?usp=sharing"",""RTK!H46"")"),166)</f>
        <v>166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IFERROR(__xludf.DUMMYFUNCTION("IMPORTRANGE(""https://docs.google.com/spreadsheets/d/1MaWodYyGHDf7siQLGxnXhG4mBNTNIuy296niS2xXulU/edit?usp=sharing"",""RTK!G46"")"),3000)</f>
        <v>3000</v>
      </c>
      <c r="J801" s="820">
        <f ca="1">IFERROR(__xludf.DUMMYFUNCTION("IMPORTRANGE(""https://docs.google.com/spreadsheets/d/1MaWodYyGHDf7siQLGxnXhG4mBNTNIuy296niS2xXulU/edit?usp=sharing"",""RTK!I46"")"),1438)</f>
        <v>1438</v>
      </c>
      <c r="K801" s="821">
        <f ca="1">IF(I801&gt;0,J801*100/I801,0)</f>
        <v>47.93333333333333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IFERROR(__xludf.DUMMYFUNCTION("IMPORTRANGE(""https://docs.google.com/spreadsheets/d/1MaWodYyGHDf7siQLGxnXhG4mBNTNIuy296niS2xXulU/edit?usp=sharing"",""RTK!K46"")"),0)</f>
        <v>0</v>
      </c>
      <c r="J803" s="820">
        <f ca="1">IFERROR(__xludf.DUMMYFUNCTION("IMPORTRANGE(""https://docs.google.com/spreadsheets/d/1MaWodYyGHDf7siQLGxnXhG4mBNTNIuy296niS2xXulU/edit?usp=sharing"",""RTK!M46"")"),0)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IFERROR(__xludf.DUMMYFUNCTION("IMPORTRANGE(""https://docs.google.com/spreadsheets/d/19vJNZY_5yjcGF2XGBMNZRCAIB0Kwfpjp8YEOfu-bneM/edit?usp=sharing"",""งานกองทุน!D46"")"),5888535.13)</f>
        <v>5888535.1299999999</v>
      </c>
      <c r="J821" s="270">
        <f ca="1">IFERROR(__xludf.DUMMYFUNCTION("IMPORTRANGE(""https://docs.google.com/spreadsheets/d/19vJNZY_5yjcGF2XGBMNZRCAIB0Kwfpjp8YEOfu-bneM/edit?usp=sharing"",""งานกองทุน!F46"")"),3559684.8)</f>
        <v>3559684.8</v>
      </c>
      <c r="K821" s="497">
        <f t="shared" ref="K821:K828" ca="1" si="336">IF(I821&gt;0,J821*100/I821,0)</f>
        <v>60.451109170847388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IFERROR(__xludf.DUMMYFUNCTION("IMPORTRANGE(""https://docs.google.com/spreadsheets/d/19vJNZY_5yjcGF2XGBMNZRCAIB0Kwfpjp8YEOfu-bneM/edit?usp=sharing"",""งานกองทุน!C46"")"),285)</f>
        <v>285</v>
      </c>
      <c r="J822" s="270">
        <f ca="1">IFERROR(__xludf.DUMMYFUNCTION("IMPORTRANGE(""https://docs.google.com/spreadsheets/d/19vJNZY_5yjcGF2XGBMNZRCAIB0Kwfpjp8YEOfu-bneM/edit?usp=sharing"",""งานกองทุน!E46"")"),175)</f>
        <v>175</v>
      </c>
      <c r="K822" s="497">
        <f t="shared" ca="1" si="336"/>
        <v>61.403508771929822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270">
        <f ca="1">IFERROR(__xludf.DUMMYFUNCTION("IMPORTRANGE(""https://docs.google.com/spreadsheets/d/19vJNZY_5yjcGF2XGBMNZRCAIB0Kwfpjp8YEOfu-bneM/edit?usp=sharing"",""งานกองทุน!K46"")"),536203.95)</f>
        <v>536203.94999999995</v>
      </c>
      <c r="K823" s="497">
        <f t="shared" ca="1" si="336"/>
        <v>8.8967547693368125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IFERROR(__xludf.DUMMYFUNCTION("IMPORTRANGE(""https://docs.google.com/spreadsheets/d/19vJNZY_5yjcGF2XGBMNZRCAIB0Kwfpjp8YEOfu-bneM/edit?usp=sharing"",""งานกองทุน!H46"")"),375)</f>
        <v>375</v>
      </c>
      <c r="J824" s="270">
        <f ca="1">IFERROR(__xludf.DUMMYFUNCTION("IMPORTRANGE(""https://docs.google.com/spreadsheets/d/19vJNZY_5yjcGF2XGBMNZRCAIB0Kwfpjp8YEOfu-bneM/edit?usp=sharing"",""งานกองทุน!J46"")"),82)</f>
        <v>82</v>
      </c>
      <c r="K824" s="497">
        <f t="shared" ca="1" si="336"/>
        <v>21.866666666666667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IFERROR(__xludf.DUMMYFUNCTION("IMPORTRANGE(""https://docs.google.com/spreadsheets/d/19vJNZY_5yjcGF2XGBMNZRCAIB0Kwfpjp8YEOfu-bneM/edit?usp=sharing"",""งานกองทุน!N46"")"),0)</f>
        <v>0</v>
      </c>
      <c r="J825" s="270">
        <f ca="1">IFERROR(__xludf.DUMMYFUNCTION("IMPORTRANGE(""https://docs.google.com/spreadsheets/d/19vJNZY_5yjcGF2XGBMNZRCAIB0Kwfpjp8YEOfu-bneM/edit?usp=sharing"",""งานกองทุน!P46"")"),1384444.5)</f>
        <v>1384444.5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IFERROR(__xludf.DUMMYFUNCTION("IMPORTRANGE(""https://docs.google.com/spreadsheets/d/19vJNZY_5yjcGF2XGBMNZRCAIB0Kwfpjp8YEOfu-bneM/edit?usp=sharing"",""งานกองทุน!M46"")"),0)</f>
        <v>0</v>
      </c>
      <c r="J826" s="270">
        <f ca="1">IFERROR(__xludf.DUMMYFUNCTION("IMPORTRANGE(""https://docs.google.com/spreadsheets/d/19vJNZY_5yjcGF2XGBMNZRCAIB0Kwfpjp8YEOfu-bneM/edit?usp=sharing"",""งานกองทุน!O46"")"),26)</f>
        <v>26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IFERROR(__xludf.DUMMYFUNCTION("IMPORTRANGE(""https://docs.google.com/spreadsheets/d/19vJNZY_5yjcGF2XGBMNZRCAIB0Kwfpjp8YEOfu-bneM/edit?usp=sharing"",""งานกองทุน!S46"")"),11100000)</f>
        <v>11100000</v>
      </c>
      <c r="J827" s="270">
        <f ca="1">IFERROR(__xludf.DUMMYFUNCTION("IMPORTRANGE(""https://docs.google.com/spreadsheets/d/19vJNZY_5yjcGF2XGBMNZRCAIB0Kwfpjp8YEOfu-bneM/edit?usp=sharing"",""งานกองทุน!U46"")"),4255000)</f>
        <v>4255000</v>
      </c>
      <c r="K827" s="497">
        <f t="shared" ca="1" si="336"/>
        <v>38.333333333333336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IFERROR(__xludf.DUMMYFUNCTION("IMPORTRANGE(""https://docs.google.com/spreadsheets/d/19vJNZY_5yjcGF2XGBMNZRCAIB0Kwfpjp8YEOfu-bneM/edit?usp=sharing"",""งานกองทุน!R46"")"),444)</f>
        <v>444</v>
      </c>
      <c r="J828" s="504">
        <f ca="1">IFERROR(__xludf.DUMMYFUNCTION("IMPORTRANGE(""https://docs.google.com/spreadsheets/d/19vJNZY_5yjcGF2XGBMNZRCAIB0Kwfpjp8YEOfu-bneM/edit?usp=sharing"",""งานกองทุน!T46"")"),127)</f>
        <v>127</v>
      </c>
      <c r="K828" s="505">
        <f t="shared" ca="1" si="336"/>
        <v>28.603603603603602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02E49-167B-4441-B0EC-C11EFEE6A76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7044724</v>
      </c>
      <c r="M8" s="22">
        <f t="shared" ca="1" si="0"/>
        <v>6097671.0800000001</v>
      </c>
      <c r="N8" s="22">
        <f t="shared" ca="1" si="0"/>
        <v>4215103.29</v>
      </c>
      <c r="O8" s="22">
        <f t="shared" ref="O8:O16" ca="1" si="1">IF(L8&gt;0,N8*100/L8,0)</f>
        <v>59.833476655721363</v>
      </c>
      <c r="P8" s="22">
        <f t="shared" ref="P8:P16" ca="1" si="2">IF(M8&gt;0,N8*100/M8,0)</f>
        <v>69.126445731474249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7044724</v>
      </c>
      <c r="M10" s="30">
        <f t="shared" ca="1" si="3"/>
        <v>6097671.0800000001</v>
      </c>
      <c r="N10" s="30">
        <f t="shared" ca="1" si="3"/>
        <v>4215103.29</v>
      </c>
      <c r="O10" s="30">
        <f t="shared" ca="1" si="1"/>
        <v>59.833476655721363</v>
      </c>
      <c r="P10" s="30">
        <f t="shared" ca="1" si="2"/>
        <v>69.126445731474249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6661624</v>
      </c>
      <c r="M11" s="497">
        <f t="shared" ca="1" si="4"/>
        <v>5714571.0800000001</v>
      </c>
      <c r="N11" s="497">
        <f t="shared" ca="1" si="4"/>
        <v>3832003.29</v>
      </c>
      <c r="O11" s="497">
        <f t="shared" ca="1" si="1"/>
        <v>57.523560170913278</v>
      </c>
      <c r="P11" s="497">
        <f t="shared" ca="1" si="2"/>
        <v>67.05670883001774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6661624</v>
      </c>
      <c r="M13" s="93">
        <f t="shared" ca="1" si="5"/>
        <v>5714571.0800000001</v>
      </c>
      <c r="N13" s="93">
        <f t="shared" ca="1" si="5"/>
        <v>3832003.29</v>
      </c>
      <c r="O13" s="93">
        <f t="shared" ca="1" si="1"/>
        <v>57.523560170913278</v>
      </c>
      <c r="P13" s="93">
        <f t="shared" ca="1" si="2"/>
        <v>67.05670883001774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383100</v>
      </c>
      <c r="M14" s="497">
        <f t="shared" ca="1" si="6"/>
        <v>383100</v>
      </c>
      <c r="N14" s="497">
        <f t="shared" ca="1" si="6"/>
        <v>383100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383100</v>
      </c>
      <c r="M16" s="52">
        <f t="shared" ca="1" si="7"/>
        <v>383100</v>
      </c>
      <c r="N16" s="52">
        <f t="shared" ca="1" si="7"/>
        <v>383100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5014676</v>
      </c>
      <c r="M18" s="22">
        <f t="shared" ca="1" si="8"/>
        <v>4082107.08</v>
      </c>
      <c r="N18" s="22">
        <f t="shared" ca="1" si="8"/>
        <v>3330992.66</v>
      </c>
      <c r="O18" s="22">
        <f t="shared" ref="O18:O26" ca="1" si="9">IF(L18&gt;0,N18*100/L18,0)</f>
        <v>66.424882883759594</v>
      </c>
      <c r="P18" s="22">
        <f t="shared" ref="P18:P26" ca="1" si="10">IF(M18&gt;0,N18*100/M18,0)</f>
        <v>81.5998354457669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5014676</v>
      </c>
      <c r="M20" s="30">
        <f t="shared" ca="1" si="11"/>
        <v>4082107.08</v>
      </c>
      <c r="N20" s="30">
        <f t="shared" ca="1" si="11"/>
        <v>3330992.66</v>
      </c>
      <c r="O20" s="30">
        <f t="shared" ca="1" si="9"/>
        <v>66.424882883759594</v>
      </c>
      <c r="P20" s="30">
        <f t="shared" ca="1" si="10"/>
        <v>81.5998354457669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4631576</v>
      </c>
      <c r="M21" s="497">
        <f t="shared" ca="1" si="12"/>
        <v>3699007.08</v>
      </c>
      <c r="N21" s="497">
        <f t="shared" ca="1" si="12"/>
        <v>2947892.66</v>
      </c>
      <c r="O21" s="497">
        <f t="shared" ca="1" si="9"/>
        <v>63.647722934914597</v>
      </c>
      <c r="P21" s="497">
        <f t="shared" ca="1" si="10"/>
        <v>79.694161061189419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4631576</v>
      </c>
      <c r="M23" s="93">
        <f t="shared" ca="1" si="13"/>
        <v>3699007.08</v>
      </c>
      <c r="N23" s="93">
        <f t="shared" ca="1" si="13"/>
        <v>2947892.66</v>
      </c>
      <c r="O23" s="93">
        <f t="shared" ca="1" si="9"/>
        <v>63.647722934914597</v>
      </c>
      <c r="P23" s="93">
        <f t="shared" ca="1" si="10"/>
        <v>79.694161061189419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383100</v>
      </c>
      <c r="M24" s="497">
        <f t="shared" ca="1" si="14"/>
        <v>383100</v>
      </c>
      <c r="N24" s="497">
        <f t="shared" ca="1" si="14"/>
        <v>383100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383100</v>
      </c>
      <c r="M26" s="52">
        <f t="shared" ca="1" si="15"/>
        <v>383100</v>
      </c>
      <c r="N26" s="52">
        <f t="shared" ca="1" si="15"/>
        <v>383100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2030048</v>
      </c>
      <c r="M28" s="22">
        <f t="shared" ca="1" si="16"/>
        <v>2015564</v>
      </c>
      <c r="N28" s="22">
        <f t="shared" si="16"/>
        <v>884110.63</v>
      </c>
      <c r="O28" s="22">
        <f t="shared" ref="O28:O37" ca="1" si="17">IF(L28&gt;0,N28*100/L28,0)</f>
        <v>43.551218000756634</v>
      </c>
      <c r="P28" s="22">
        <f t="shared" ref="P28:P37" ca="1" si="18">IF(M28&gt;0,N28*100/M28,0)</f>
        <v>43.864180447755565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2030048</v>
      </c>
      <c r="M30" s="30">
        <f t="shared" ca="1" si="19"/>
        <v>2015564</v>
      </c>
      <c r="N30" s="30">
        <f t="shared" si="19"/>
        <v>884110.63</v>
      </c>
      <c r="O30" s="30">
        <f t="shared" ca="1" si="17"/>
        <v>43.551218000756634</v>
      </c>
      <c r="P30" s="30">
        <f t="shared" ca="1" si="18"/>
        <v>43.864180447755565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2030048</v>
      </c>
      <c r="M31" s="497">
        <f t="shared" ca="1" si="20"/>
        <v>2015564</v>
      </c>
      <c r="N31" s="497">
        <f t="shared" si="20"/>
        <v>884110.63</v>
      </c>
      <c r="O31" s="497">
        <f t="shared" ca="1" si="17"/>
        <v>43.551218000756634</v>
      </c>
      <c r="P31" s="497">
        <f t="shared" ca="1" si="18"/>
        <v>43.864180447755565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2030048</v>
      </c>
      <c r="M33" s="93">
        <f t="shared" ca="1" si="21"/>
        <v>2015564</v>
      </c>
      <c r="N33" s="93">
        <f t="shared" si="21"/>
        <v>884110.63</v>
      </c>
      <c r="O33" s="93">
        <f t="shared" ca="1" si="17"/>
        <v>43.551218000756634</v>
      </c>
      <c r="P33" s="93">
        <f t="shared" ca="1" si="18"/>
        <v>43.864180447755565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5014676</v>
      </c>
      <c r="M37" s="870">
        <f t="shared" ca="1" si="24"/>
        <v>4082107.08</v>
      </c>
      <c r="N37" s="870">
        <f t="shared" ca="1" si="24"/>
        <v>3330992.66</v>
      </c>
      <c r="O37" s="870">
        <f t="shared" ca="1" si="17"/>
        <v>66.424882883759594</v>
      </c>
      <c r="P37" s="870">
        <f t="shared" ca="1" si="18"/>
        <v>81.5998354457669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699341</v>
      </c>
      <c r="M41" s="85">
        <f t="shared" ca="1" si="25"/>
        <v>718842.08</v>
      </c>
      <c r="N41" s="85">
        <f t="shared" ca="1" si="25"/>
        <v>478296</v>
      </c>
      <c r="O41" s="85">
        <f t="shared" ref="O41:O49" ca="1" si="26">IF(L41&gt;0,N41*100/L41,0)</f>
        <v>68.392386546763305</v>
      </c>
      <c r="P41" s="85">
        <f t="shared" ref="P41:P49" ca="1" si="27">IF(M41&gt;0,N41*100/M41,0)</f>
        <v>66.537006292119131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699341</v>
      </c>
      <c r="M43" s="92">
        <f t="shared" ca="1" si="28"/>
        <v>718842.08</v>
      </c>
      <c r="N43" s="92">
        <f t="shared" ca="1" si="28"/>
        <v>478296</v>
      </c>
      <c r="O43" s="92">
        <f t="shared" ca="1" si="26"/>
        <v>68.392386546763305</v>
      </c>
      <c r="P43" s="92">
        <f t="shared" ca="1" si="27"/>
        <v>66.537006292119131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699341</v>
      </c>
      <c r="M44" s="497">
        <f t="shared" ca="1" si="29"/>
        <v>718842.08</v>
      </c>
      <c r="N44" s="497">
        <f t="shared" ca="1" si="29"/>
        <v>478296</v>
      </c>
      <c r="O44" s="497">
        <f t="shared" ca="1" si="26"/>
        <v>68.392386546763305</v>
      </c>
      <c r="P44" s="497">
        <f t="shared" ca="1" si="27"/>
        <v>66.537006292119131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IFERROR(__xludf.DUMMYFUNCTION("IMPORTRANGE(""https://docs.google.com/spreadsheets/d/1MeEWN-I1oV_STSDYn1IFDPWt_1FKiwhDph83XaGc0o0/edit?usp=sharing"",""งบพรบ!M47"")"),699341)</f>
        <v>699341</v>
      </c>
      <c r="M46" s="93">
        <f ca="1">IFERROR(__xludf.DUMMYFUNCTION("IMPORTRANGE(""https://docs.google.com/spreadsheets/d/1MeEWN-I1oV_STSDYn1IFDPWt_1FKiwhDph83XaGc0o0/edit?usp=sharing"",""งบพรบ!R47"")"),718842.08)</f>
        <v>718842.08</v>
      </c>
      <c r="N46" s="93">
        <f ca="1">IFERROR(__xludf.DUMMYFUNCTION("IMPORTRANGE(""https://docs.google.com/spreadsheets/d/1MeEWN-I1oV_STSDYn1IFDPWt_1FKiwhDph83XaGc0o0/edit?usp=sharing"",""งบพรบ!T47"")"),478296)</f>
        <v>478296</v>
      </c>
      <c r="O46" s="93">
        <f t="shared" ca="1" si="26"/>
        <v>68.392386546763305</v>
      </c>
      <c r="P46" s="93">
        <f t="shared" ca="1" si="27"/>
        <v>66.537006292119131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IFERROR(__xludf.DUMMYFUNCTION("IMPORTRANGE(""https://docs.google.com/spreadsheets/d/1MeEWN-I1oV_STSDYn1IFDPWt_1FKiwhDph83XaGc0o0/edit?usp=sharing"",""งบพรบ!P47"")"),0)</f>
        <v>0</v>
      </c>
      <c r="M49" s="52">
        <f ca="1">IFERROR(__xludf.DUMMYFUNCTION("IMPORTRANGE(""https://docs.google.com/spreadsheets/d/1MeEWN-I1oV_STSDYn1IFDPWt_1FKiwhDph83XaGc0o0/edit?usp=sharing"",""งบพรบ!S47"")"),0)</f>
        <v>0</v>
      </c>
      <c r="N49" s="52">
        <f ca="1">IFERROR(__xludf.DUMMYFUNCTION("IMPORTRANGE(""https://docs.google.com/spreadsheets/d/1MeEWN-I1oV_STSDYn1IFDPWt_1FKiwhDph83XaGc0o0/edit?usp=sharing"",""งบพรบ!U47"")"),0)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842400</v>
      </c>
      <c r="M53" s="116">
        <f t="shared" ca="1" si="31"/>
        <v>633700</v>
      </c>
      <c r="N53" s="116">
        <f t="shared" ca="1" si="31"/>
        <v>520146.33</v>
      </c>
      <c r="O53" s="116">
        <f t="shared" ref="O53:O61" ca="1" si="32">IF(L53&gt;0,N53*100/L53,0)</f>
        <v>61.74576566951567</v>
      </c>
      <c r="P53" s="116">
        <f t="shared" ref="P53:P61" ca="1" si="33">IF(M53&gt;0,N53*100/M53,0)</f>
        <v>82.080847404134445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842400</v>
      </c>
      <c r="M55" s="123">
        <f t="shared" ca="1" si="34"/>
        <v>633700</v>
      </c>
      <c r="N55" s="123">
        <f t="shared" ca="1" si="34"/>
        <v>520146.33</v>
      </c>
      <c r="O55" s="123">
        <f t="shared" ca="1" si="32"/>
        <v>61.74576566951567</v>
      </c>
      <c r="P55" s="123">
        <f t="shared" ca="1" si="33"/>
        <v>82.080847404134445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842400</v>
      </c>
      <c r="M56" s="497">
        <f t="shared" ca="1" si="35"/>
        <v>633700</v>
      </c>
      <c r="N56" s="497">
        <f t="shared" ca="1" si="35"/>
        <v>520146.33</v>
      </c>
      <c r="O56" s="497">
        <f t="shared" ca="1" si="32"/>
        <v>61.74576566951567</v>
      </c>
      <c r="P56" s="497">
        <f t="shared" ca="1" si="33"/>
        <v>82.080847404134445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IFERROR(__xludf.DUMMYFUNCTION("IMPORTRANGE(""https://docs.google.com/spreadsheets/d/1MeEWN-I1oV_STSDYn1IFDPWt_1FKiwhDph83XaGc0o0/edit?usp=sharing"",""งบพรบ!W47"")"),842400)</f>
        <v>842400</v>
      </c>
      <c r="M58" s="93">
        <f ca="1">IFERROR(__xludf.DUMMYFUNCTION("IMPORTRANGE(""https://docs.google.com/spreadsheets/d/1MeEWN-I1oV_STSDYn1IFDPWt_1FKiwhDph83XaGc0o0/edit?usp=sharing"",""งบพรบ!AB47"")"),633700)</f>
        <v>633700</v>
      </c>
      <c r="N58" s="93">
        <f ca="1">IFERROR(__xludf.DUMMYFUNCTION("IMPORTRANGE(""https://docs.google.com/spreadsheets/d/1MeEWN-I1oV_STSDYn1IFDPWt_1FKiwhDph83XaGc0o0/edit?usp=sharing"",""งบพรบ!AD47"")"),520146.33)</f>
        <v>520146.33</v>
      </c>
      <c r="O58" s="93">
        <f t="shared" ca="1" si="32"/>
        <v>61.74576566951567</v>
      </c>
      <c r="P58" s="93">
        <f t="shared" ca="1" si="33"/>
        <v>82.080847404134445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IFERROR(__xludf.DUMMYFUNCTION("IMPORTRANGE(""https://docs.google.com/spreadsheets/d/1MeEWN-I1oV_STSDYn1IFDPWt_1FKiwhDph83XaGc0o0/edit?usp=sharing"",""งบพรบ!Z47"")"),0)</f>
        <v>0</v>
      </c>
      <c r="M61" s="52">
        <f ca="1">IFERROR(__xludf.DUMMYFUNCTION("IMPORTRANGE(""https://docs.google.com/spreadsheets/d/1MeEWN-I1oV_STSDYn1IFDPWt_1FKiwhDph83XaGc0o0/edit?usp=sharing"",""งบพรบ!AC47"")"),0)</f>
        <v>0</v>
      </c>
      <c r="N61" s="52">
        <f ca="1">IFERROR(__xludf.DUMMYFUNCTION("IMPORTRANGE(""https://docs.google.com/spreadsheets/d/1MeEWN-I1oV_STSDYn1IFDPWt_1FKiwhDph83XaGc0o0/edit?usp=sharing"",""งบพรบ!AE47"")"),0)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114</v>
      </c>
      <c r="J65" s="144">
        <f t="shared" si="37"/>
        <v>114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1380900</v>
      </c>
      <c r="M66" s="155">
        <f t="shared" ca="1" si="39"/>
        <v>1063010</v>
      </c>
      <c r="N66" s="155">
        <f t="shared" ca="1" si="39"/>
        <v>984996.38</v>
      </c>
      <c r="O66" s="155">
        <f t="shared" ref="O66:O74" ca="1" si="40">IF(L66&gt;0,N66*100/L66,0)</f>
        <v>71.330029690781373</v>
      </c>
      <c r="P66" s="155">
        <f t="shared" ref="P66:P74" ca="1" si="41">IF(M66&gt;0,N66*100/M66,0)</f>
        <v>92.661064336177461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1380900</v>
      </c>
      <c r="M68" s="93">
        <f t="shared" ca="1" si="42"/>
        <v>1063010</v>
      </c>
      <c r="N68" s="93">
        <f t="shared" ca="1" si="42"/>
        <v>984996.38</v>
      </c>
      <c r="O68" s="93">
        <f t="shared" ca="1" si="40"/>
        <v>71.330029690781373</v>
      </c>
      <c r="P68" s="93">
        <f t="shared" ca="1" si="41"/>
        <v>92.661064336177461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1380900</v>
      </c>
      <c r="M69" s="497">
        <f t="shared" ca="1" si="43"/>
        <v>1063010</v>
      </c>
      <c r="N69" s="497">
        <f t="shared" ca="1" si="43"/>
        <v>984996.38</v>
      </c>
      <c r="O69" s="497">
        <f t="shared" ca="1" si="40"/>
        <v>71.330029690781373</v>
      </c>
      <c r="P69" s="497">
        <f t="shared" ca="1" si="41"/>
        <v>92.661064336177461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IFERROR(__xludf.DUMMYFUNCTION("IMPORTRANGE(""https://docs.google.com/spreadsheets/d/1MeEWN-I1oV_STSDYn1IFDPWt_1FKiwhDph83XaGc0o0/edit?usp=sharing"",""งบพรบ!AG47"")"),1380900)</f>
        <v>1380900</v>
      </c>
      <c r="M71" s="93">
        <f ca="1">IFERROR(__xludf.DUMMYFUNCTION("IMPORTRANGE(""https://docs.google.com/spreadsheets/d/1MeEWN-I1oV_STSDYn1IFDPWt_1FKiwhDph83XaGc0o0/edit?usp=sharing"",""งบพรบ!AL47"")"),1063010)</f>
        <v>1063010</v>
      </c>
      <c r="N71" s="93">
        <f ca="1">IFERROR(__xludf.DUMMYFUNCTION("IMPORTRANGE(""https://docs.google.com/spreadsheets/d/1MeEWN-I1oV_STSDYn1IFDPWt_1FKiwhDph83XaGc0o0/edit?usp=sharing"",""งบพรบ!AN47"")"),984996.38)</f>
        <v>984996.38</v>
      </c>
      <c r="O71" s="93">
        <f t="shared" ca="1" si="40"/>
        <v>71.330029690781373</v>
      </c>
      <c r="P71" s="93">
        <f t="shared" ca="1" si="41"/>
        <v>92.661064336177461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IFERROR(__xludf.DUMMYFUNCTION("IMPORTRANGE(""https://docs.google.com/spreadsheets/d/1MeEWN-I1oV_STSDYn1IFDPWt_1FKiwhDph83XaGc0o0/edit?usp=sharing"",""งบพรบ!AJ47"")"),0)</f>
        <v>0</v>
      </c>
      <c r="M74" s="93">
        <f ca="1">IFERROR(__xludf.DUMMYFUNCTION("IMPORTRANGE(""https://docs.google.com/spreadsheets/d/1MeEWN-I1oV_STSDYn1IFDPWt_1FKiwhDph83XaGc0o0/edit?usp=sharing"",""งบพรบ!AM47"")"),0)</f>
        <v>0</v>
      </c>
      <c r="N74" s="93">
        <f ca="1">IFERROR(__xludf.DUMMYFUNCTION("IMPORTRANGE(""https://docs.google.com/spreadsheets/d/1MeEWN-I1oV_STSDYn1IFDPWt_1FKiwhDph83XaGc0o0/edit?usp=sharing"",""งบพรบ!AO47"")"),0)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114</v>
      </c>
      <c r="J77" s="270">
        <f t="shared" si="45"/>
        <v>114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IFERROR(__xludf.DUMMYFUNCTION("IMPORTRANGE(""https://docs.google.com/spreadsheets/d/1QqKyyYR6Q21VydFLVH3TRQUabQu_ym0Zz7PgGX0-kHA/edit?usp=sharing"",""แผน!I47"")"),50)</f>
        <v>50</v>
      </c>
      <c r="J79" s="215">
        <v>50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IFERROR(__xludf.DUMMYFUNCTION("IMPORTRANGE(""https://docs.google.com/spreadsheets/d/1QqKyyYR6Q21VydFLVH3TRQUabQu_ym0Zz7PgGX0-kHA/edit?usp=sharing"",""แผน!E47"")"),64)</f>
        <v>64</v>
      </c>
      <c r="J83" s="215">
        <v>64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140780</v>
      </c>
      <c r="M88" s="155">
        <f t="shared" ca="1" si="49"/>
        <v>101480</v>
      </c>
      <c r="N88" s="155">
        <f t="shared" ca="1" si="49"/>
        <v>71130</v>
      </c>
      <c r="O88" s="155">
        <f t="shared" ref="O88:O96" ca="1" si="50">IF(L88&gt;0,N88*100/L88,0)</f>
        <v>50.525642846995311</v>
      </c>
      <c r="P88" s="155">
        <f t="shared" ref="P88:P96" ca="1" si="51">IF(M88&gt;0,N88*100/M88,0)</f>
        <v>70.092629089475764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140780</v>
      </c>
      <c r="M90" s="93">
        <f t="shared" ca="1" si="52"/>
        <v>101480</v>
      </c>
      <c r="N90" s="93">
        <f t="shared" ca="1" si="52"/>
        <v>71130</v>
      </c>
      <c r="O90" s="93">
        <f t="shared" ca="1" si="50"/>
        <v>50.525642846995311</v>
      </c>
      <c r="P90" s="93">
        <f t="shared" ca="1" si="51"/>
        <v>70.092629089475764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140780</v>
      </c>
      <c r="M91" s="497">
        <f t="shared" ca="1" si="53"/>
        <v>101480</v>
      </c>
      <c r="N91" s="497">
        <f t="shared" ca="1" si="53"/>
        <v>71130</v>
      </c>
      <c r="O91" s="497">
        <f t="shared" ca="1" si="50"/>
        <v>50.525642846995311</v>
      </c>
      <c r="P91" s="497">
        <f t="shared" ca="1" si="51"/>
        <v>70.092629089475764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IFERROR(__xludf.DUMMYFUNCTION("IMPORTRANGE(""https://docs.google.com/spreadsheets/d/1MeEWN-I1oV_STSDYn1IFDPWt_1FKiwhDph83XaGc0o0/edit?usp=sharing"",""งบพรบ!AQ47"")"),140780)</f>
        <v>140780</v>
      </c>
      <c r="M93" s="93">
        <f ca="1">IFERROR(__xludf.DUMMYFUNCTION("IMPORTRANGE(""https://docs.google.com/spreadsheets/d/1MeEWN-I1oV_STSDYn1IFDPWt_1FKiwhDph83XaGc0o0/edit?usp=sharing"",""งบพรบ!AV47"")"),101480)</f>
        <v>101480</v>
      </c>
      <c r="N93" s="93">
        <f ca="1">IFERROR(__xludf.DUMMYFUNCTION("IMPORTRANGE(""https://docs.google.com/spreadsheets/d/1MeEWN-I1oV_STSDYn1IFDPWt_1FKiwhDph83XaGc0o0/edit?usp=sharing"",""งบพรบ!AX47"")"),71130)</f>
        <v>71130</v>
      </c>
      <c r="O93" s="93">
        <f t="shared" ca="1" si="50"/>
        <v>50.525642846995311</v>
      </c>
      <c r="P93" s="93">
        <f t="shared" ca="1" si="51"/>
        <v>70.092629089475764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IFERROR(__xludf.DUMMYFUNCTION("IMPORTRANGE(""https://docs.google.com/spreadsheets/d/1MeEWN-I1oV_STSDYn1IFDPWt_1FKiwhDph83XaGc0o0/edit?usp=sharing"",""งบพรบ!AT47"")"),0)</f>
        <v>0</v>
      </c>
      <c r="M96" s="93">
        <f ca="1">IFERROR(__xludf.DUMMYFUNCTION("IMPORTRANGE(""https://docs.google.com/spreadsheets/d/1MeEWN-I1oV_STSDYn1IFDPWt_1FKiwhDph83XaGc0o0/edit?usp=sharing"",""งบพรบ!AW47"")"),0)</f>
        <v>0</v>
      </c>
      <c r="N96" s="93">
        <f ca="1">IFERROR(__xludf.DUMMYFUNCTION("IMPORTRANGE(""https://docs.google.com/spreadsheets/d/1MeEWN-I1oV_STSDYn1IFDPWt_1FKiwhDph83XaGc0o0/edit?usp=sharing"",""งบพรบ!AY47"")"),0)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IFERROR(__xludf.DUMMYFUNCTION("IMPORTRANGE(""https://docs.google.com/spreadsheets/d/1QqKyyYR6Q21VydFLVH3TRQUabQu_ym0Zz7PgGX0-kHA/edit?usp=sharing"",""แผน!K47"")"),60)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IFERROR(__xludf.DUMMYFUNCTION("IMPORTRANGE(""https://docs.google.com/spreadsheets/d/1QqKyyYR6Q21VydFLVH3TRQUabQu_ym0Zz7PgGX0-kHA/edit?usp=sharing"",""แผน!L47"")"),20)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IFERROR(__xludf.DUMMYFUNCTION("IMPORTRANGE(""https://docs.google.com/spreadsheets/d/1QqKyyYR6Q21VydFLVH3TRQUabQu_ym0Zz7PgGX0-kHA/edit?usp=sharing"",""แผน!M47"")"),3)</f>
        <v>3</v>
      </c>
      <c r="J100" s="270">
        <f>J107+J110</f>
        <v>2</v>
      </c>
      <c r="K100" s="497">
        <f t="shared" ca="1" si="55"/>
        <v>66.666666666666671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IFERROR(__xludf.DUMMYFUNCTION("IMPORTRANGE(""https://docs.google.com/spreadsheets/d/1QqKyyYR6Q21VydFLVH3TRQUabQu_ym0Zz7PgGX0-kHA/edit?usp=sharing"",""แผน!N47"")"),60)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IFERROR(__xludf.DUMMYFUNCTION("IMPORTRANGE(""https://docs.google.com/spreadsheets/d/1QqKyyYR6Q21VydFLVH3TRQUabQu_ym0Zz7PgGX0-kHA/edit?usp=sharing"",""แผน!O47"")"),20)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IFERROR(__xludf.DUMMYFUNCTION("IMPORTRANGE(""https://docs.google.com/spreadsheets/d/1QqKyyYR6Q21VydFLVH3TRQUabQu_ym0Zz7PgGX0-kHA/edit?usp=sharing"",""แผน!O47"")"),20)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IFERROR(__xludf.DUMMYFUNCTION("IMPORTRANGE(""https://docs.google.com/spreadsheets/d/1QqKyyYR6Q21VydFLVH3TRQUabQu_ym0Zz7PgGX0-kHA/edit?usp=sharing"",""แผน!R47"")"),20)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IFERROR(__xludf.DUMMYFUNCTION("IMPORTRANGE(""https://docs.google.com/spreadsheets/d/1QqKyyYR6Q21VydFLVH3TRQUabQu_ym0Zz7PgGX0-kHA/edit?usp=sharing"",""แผน!R47"")"),20)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IFERROR(__xludf.DUMMYFUNCTION("IMPORTRANGE(""https://docs.google.com/spreadsheets/d/1QqKyyYR6Q21VydFLVH3TRQUabQu_ym0Zz7PgGX0-kHA/edit?usp=sharing"",""แผน!R47"")"),20)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IFERROR(__xludf.DUMMYFUNCTION("IMPORTRANGE(""https://docs.google.com/spreadsheets/d/1MeEWN-I1oV_STSDYn1IFDPWt_1FKiwhDph83XaGc0o0/edit?usp=sharing"",""งบพรบ!BA47"")"),0)</f>
        <v>0</v>
      </c>
      <c r="M124" s="93">
        <f ca="1">IFERROR(__xludf.DUMMYFUNCTION("IMPORTRANGE(""https://docs.google.com/spreadsheets/d/1MeEWN-I1oV_STSDYn1IFDPWt_1FKiwhDph83XaGc0o0/edit?usp=sharing"",""งบพรบ!BF47"")"),0)</f>
        <v>0</v>
      </c>
      <c r="N124" s="93">
        <f ca="1">IFERROR(__xludf.DUMMYFUNCTION("IMPORTRANGE(""https://docs.google.com/spreadsheets/d/1MeEWN-I1oV_STSDYn1IFDPWt_1FKiwhDph83XaGc0o0/edit?usp=sharing"",""งบพรบ!BH47"")"),0)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IFERROR(__xludf.DUMMYFUNCTION("IMPORTRANGE(""https://docs.google.com/spreadsheets/d/1MeEWN-I1oV_STSDYn1IFDPWt_1FKiwhDph83XaGc0o0/edit?usp=sharing"",""งบพรบ!BD47"")"),0)</f>
        <v>0</v>
      </c>
      <c r="M127" s="93">
        <f ca="1">IFERROR(__xludf.DUMMYFUNCTION("IMPORTRANGE(""https://docs.google.com/spreadsheets/d/1MeEWN-I1oV_STSDYn1IFDPWt_1FKiwhDph83XaGc0o0/edit?usp=sharing"",""งบพรบ!BG47"")"),0)</f>
        <v>0</v>
      </c>
      <c r="N127" s="93">
        <f ca="1">IFERROR(__xludf.DUMMYFUNCTION("IMPORTRANGE(""https://docs.google.com/spreadsheets/d/1MeEWN-I1oV_STSDYn1IFDPWt_1FKiwhDph83XaGc0o0/edit?usp=sharing"",""งบพรบ!BI47"")"),0)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413070</v>
      </c>
      <c r="O132" s="155">
        <f t="shared" ref="O132:O140" ca="1" si="70">IF(L132&gt;0,N132*100/L132,0)</f>
        <v>90.791599353796443</v>
      </c>
      <c r="P132" s="155">
        <f t="shared" ref="P132:P140" ca="1" si="71">IF(M132&gt;0,N132*100/M132,0)</f>
        <v>93.751702224239679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413070</v>
      </c>
      <c r="O134" s="93">
        <f t="shared" ca="1" si="70"/>
        <v>90.791599353796443</v>
      </c>
      <c r="P134" s="93">
        <f t="shared" ca="1" si="71"/>
        <v>93.751702224239679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104070</v>
      </c>
      <c r="O135" s="497">
        <f t="shared" ca="1" si="70"/>
        <v>71.297913883465213</v>
      </c>
      <c r="P135" s="497">
        <f t="shared" ca="1" si="71"/>
        <v>79.080547112462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IFERROR(__xludf.DUMMYFUNCTION("IMPORTRANGE(""https://docs.google.com/spreadsheets/d/1MeEWN-I1oV_STSDYn1IFDPWt_1FKiwhDph83XaGc0o0/edit?usp=sharing"",""งบพรบ!BK47"")"),145965)</f>
        <v>145965</v>
      </c>
      <c r="M137" s="93">
        <f ca="1">IFERROR(__xludf.DUMMYFUNCTION("IMPORTRANGE(""https://docs.google.com/spreadsheets/d/1MeEWN-I1oV_STSDYn1IFDPWt_1FKiwhDph83XaGc0o0/edit?usp=sharing"",""งบพรบ!BP47"")"),131600)</f>
        <v>131600</v>
      </c>
      <c r="N137" s="93">
        <f ca="1">IFERROR(__xludf.DUMMYFUNCTION("IMPORTRANGE(""https://docs.google.com/spreadsheets/d/1MeEWN-I1oV_STSDYn1IFDPWt_1FKiwhDph83XaGc0o0/edit?usp=sharing"",""งบพรบ!BR47"")"),104070)</f>
        <v>104070</v>
      </c>
      <c r="O137" s="93">
        <f t="shared" ca="1" si="70"/>
        <v>71.297913883465213</v>
      </c>
      <c r="P137" s="93">
        <f t="shared" ca="1" si="71"/>
        <v>79.080547112462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IFERROR(__xludf.DUMMYFUNCTION("IMPORTRANGE(""https://docs.google.com/spreadsheets/d/1MeEWN-I1oV_STSDYn1IFDPWt_1FKiwhDph83XaGc0o0/edit?usp=sharing"",""งบพรบ!BN47"")"),309000)</f>
        <v>309000</v>
      </c>
      <c r="M140" s="93">
        <f ca="1">IFERROR(__xludf.DUMMYFUNCTION("IMPORTRANGE(""https://docs.google.com/spreadsheets/d/1MeEWN-I1oV_STSDYn1IFDPWt_1FKiwhDph83XaGc0o0/edit?usp=sharing"",""งบพรบ!BQ47"")"),309000)</f>
        <v>309000</v>
      </c>
      <c r="N140" s="93">
        <f ca="1">IFERROR(__xludf.DUMMYFUNCTION("IMPORTRANGE(""https://docs.google.com/spreadsheets/d/1MeEWN-I1oV_STSDYn1IFDPWt_1FKiwhDph83XaGc0o0/edit?usp=sharing"",""งบพรบ!BS47"")"),309000)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IFERROR(__xludf.DUMMYFUNCTION("IMPORTRANGE(""https://docs.google.com/spreadsheets/d/1QqKyyYR6Q21VydFLVH3TRQUabQu_ym0Zz7PgGX0-kHA/edit?usp=sharing"",""แผน!U47"")"),15)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IFERROR(__xludf.DUMMYFUNCTION("IMPORTRANGE(""https://docs.google.com/spreadsheets/d/1QqKyyYR6Q21VydFLVH3TRQUabQu_ym0Zz7PgGX0-kHA/edit?usp=sharing"",""แผน!V47"")"),30)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IFERROR(__xludf.DUMMYFUNCTION("IMPORTRANGE(""https://docs.google.com/spreadsheets/d/1QqKyyYR6Q21VydFLVH3TRQUabQu_ym0Zz7PgGX0-kHA/edit?usp=sharing"",""แผน!W47"")"),3)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IFERROR(__xludf.DUMMYFUNCTION("IMPORTRANGE(""https://docs.google.com/spreadsheets/d/1MeEWN-I1oV_STSDYn1IFDPWt_1FKiwhDph83XaGc0o0/edit?usp=sharing"",""งบพรบ!BU47"")"),0)</f>
        <v>0</v>
      </c>
      <c r="M154" s="93">
        <f ca="1">IFERROR(__xludf.DUMMYFUNCTION("IMPORTRANGE(""https://docs.google.com/spreadsheets/d/1MeEWN-I1oV_STSDYn1IFDPWt_1FKiwhDph83XaGc0o0/edit?usp=sharing"",""งบพรบ!BZ47"")"),0)</f>
        <v>0</v>
      </c>
      <c r="N154" s="93">
        <f ca="1">IFERROR(__xludf.DUMMYFUNCTION("IMPORTRANGE(""https://docs.google.com/spreadsheets/d/1MeEWN-I1oV_STSDYn1IFDPWt_1FKiwhDph83XaGc0o0/edit?usp=sharing"",""งบพรบ!CB47"")"),0)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IFERROR(__xludf.DUMMYFUNCTION("IMPORTRANGE(""https://docs.google.com/spreadsheets/d/1MeEWN-I1oV_STSDYn1IFDPWt_1FKiwhDph83XaGc0o0/edit?usp=sharing"",""งบพรบ!BX47"")"),0)</f>
        <v>0</v>
      </c>
      <c r="M157" s="93">
        <f ca="1">IFERROR(__xludf.DUMMYFUNCTION("IMPORTRANGE(""https://docs.google.com/spreadsheets/d/1MeEWN-I1oV_STSDYn1IFDPWt_1FKiwhDph83XaGc0o0/edit?usp=sharing"",""งบพรบ!CA47"")"),0)</f>
        <v>0</v>
      </c>
      <c r="N157" s="93">
        <f ca="1">IFERROR(__xludf.DUMMYFUNCTION("IMPORTRANGE(""https://docs.google.com/spreadsheets/d/1MeEWN-I1oV_STSDYn1IFDPWt_1FKiwhDph83XaGc0o0/edit?usp=sharing"",""งบพรบ!CC47"")"),0)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IFERROR(__xludf.DUMMYFUNCTION("IMPORTRANGE(""https://docs.google.com/spreadsheets/d/1QqKyyYR6Q21VydFLVH3TRQUabQu_ym0Zz7PgGX0-kHA/edit?usp=sharing"",""แผน!X47"")"),0)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917">
        <f t="shared" ref="I164:J164" ca="1" si="83">I174+I177</f>
        <v>0</v>
      </c>
      <c r="J164" s="917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IFERROR(__xludf.DUMMYFUNCTION("IMPORTRANGE(""https://docs.google.com/spreadsheets/d/1MeEWN-I1oV_STSDYn1IFDPWt_1FKiwhDph83XaGc0o0/edit?usp=sharing"",""งบพรบ!CE47"")"),0)</f>
        <v>0</v>
      </c>
      <c r="M170" s="93">
        <f ca="1">IFERROR(__xludf.DUMMYFUNCTION("IMPORTRANGE(""https://docs.google.com/spreadsheets/d/1MeEWN-I1oV_STSDYn1IFDPWt_1FKiwhDph83XaGc0o0/edit?usp=sharing"",""งบพรบ!CJ47"")"),0)</f>
        <v>0</v>
      </c>
      <c r="N170" s="93">
        <f ca="1">IFERROR(__xludf.DUMMYFUNCTION("IMPORTRANGE(""https://docs.google.com/spreadsheets/d/1MeEWN-I1oV_STSDYn1IFDPWt_1FKiwhDph83XaGc0o0/edit?usp=sharing"",""งบพรบ!CL47"")"),0)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IFERROR(__xludf.DUMMYFUNCTION("IMPORTRANGE(""https://docs.google.com/spreadsheets/d/1MeEWN-I1oV_STSDYn1IFDPWt_1FKiwhDph83XaGc0o0/edit?usp=sharing"",""งบพรบ!CH47"")"),0)</f>
        <v>0</v>
      </c>
      <c r="M173" s="93">
        <f ca="1">IFERROR(__xludf.DUMMYFUNCTION("IMPORTRANGE(""https://docs.google.com/spreadsheets/d/1MeEWN-I1oV_STSDYn1IFDPWt_1FKiwhDph83XaGc0o0/edit?usp=sharing"",""งบพรบ!CK47"")"),0)</f>
        <v>0</v>
      </c>
      <c r="N173" s="93">
        <f ca="1">IFERROR(__xludf.DUMMYFUNCTION("IMPORTRANGE(""https://docs.google.com/spreadsheets/d/1MeEWN-I1oV_STSDYn1IFDPWt_1FKiwhDph83XaGc0o0/edit?usp=sharing"",""งบพรบ!CM47"")"),0)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IFERROR(__xludf.DUMMYFUNCTION("IMPORTRANGE(""https://docs.google.com/spreadsheets/d/1QqKyyYR6Q21VydFLVH3TRQUabQu_ym0Zz7PgGX0-kHA/edit?usp=sharing"",""แผน!Y47"")"),0)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77500</v>
      </c>
      <c r="M181" s="155">
        <f t="shared" ca="1" si="92"/>
        <v>67500</v>
      </c>
      <c r="N181" s="155">
        <f t="shared" ca="1" si="92"/>
        <v>45600</v>
      </c>
      <c r="O181" s="155">
        <f t="shared" ref="O181:O189" ca="1" si="93">IF(L181&gt;0,N181*100/L181,0)</f>
        <v>58.838709677419352</v>
      </c>
      <c r="P181" s="155">
        <f t="shared" ref="P181:P189" ca="1" si="94">IF(M181&gt;0,N181*100/M181,0)</f>
        <v>67.555555555555557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77500</v>
      </c>
      <c r="M183" s="93">
        <f t="shared" ca="1" si="95"/>
        <v>67500</v>
      </c>
      <c r="N183" s="93">
        <f t="shared" ca="1" si="95"/>
        <v>45600</v>
      </c>
      <c r="O183" s="93">
        <f t="shared" ca="1" si="93"/>
        <v>58.838709677419352</v>
      </c>
      <c r="P183" s="93">
        <f t="shared" ca="1" si="94"/>
        <v>67.555555555555557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77500</v>
      </c>
      <c r="M184" s="497">
        <f t="shared" ca="1" si="96"/>
        <v>67500</v>
      </c>
      <c r="N184" s="497">
        <f t="shared" ca="1" si="96"/>
        <v>45600</v>
      </c>
      <c r="O184" s="497">
        <f t="shared" ca="1" si="93"/>
        <v>58.838709677419352</v>
      </c>
      <c r="P184" s="497">
        <f t="shared" ca="1" si="94"/>
        <v>67.555555555555557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IFERROR(__xludf.DUMMYFUNCTION("IMPORTRANGE(""https://docs.google.com/spreadsheets/d/1MeEWN-I1oV_STSDYn1IFDPWt_1FKiwhDph83XaGc0o0/edit?usp=sharing"",""งบพรบ!CO47"")"),77500)</f>
        <v>77500</v>
      </c>
      <c r="M186" s="93">
        <f ca="1">IFERROR(__xludf.DUMMYFUNCTION("IMPORTRANGE(""https://docs.google.com/spreadsheets/d/1MeEWN-I1oV_STSDYn1IFDPWt_1FKiwhDph83XaGc0o0/edit?usp=sharing"",""งบพรบ!CT47"")"),67500)</f>
        <v>67500</v>
      </c>
      <c r="N186" s="93">
        <f ca="1">IFERROR(__xludf.DUMMYFUNCTION("IMPORTRANGE(""https://docs.google.com/spreadsheets/d/1MeEWN-I1oV_STSDYn1IFDPWt_1FKiwhDph83XaGc0o0/edit?usp=sharing"",""งบพรบ!CV47"")"),45600)</f>
        <v>45600</v>
      </c>
      <c r="O186" s="93">
        <f t="shared" ca="1" si="93"/>
        <v>58.838709677419352</v>
      </c>
      <c r="P186" s="93">
        <f t="shared" ca="1" si="94"/>
        <v>67.555555555555557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IFERROR(__xludf.DUMMYFUNCTION("IMPORTRANGE(""https://docs.google.com/spreadsheets/d/1MeEWN-I1oV_STSDYn1IFDPWt_1FKiwhDph83XaGc0o0/edit?usp=sharing"",""งบพรบ!CR47"")"),0)</f>
        <v>0</v>
      </c>
      <c r="M189" s="93">
        <f ca="1">IFERROR(__xludf.DUMMYFUNCTION("IMPORTRANGE(""https://docs.google.com/spreadsheets/d/1MeEWN-I1oV_STSDYn1IFDPWt_1FKiwhDph83XaGc0o0/edit?usp=sharing"",""งบพรบ!CU47"")"),0)</f>
        <v>0</v>
      </c>
      <c r="N189" s="93">
        <f ca="1">IFERROR(__xludf.DUMMYFUNCTION("IMPORTRANGE(""https://docs.google.com/spreadsheets/d/1MeEWN-I1oV_STSDYn1IFDPWt_1FKiwhDph83XaGc0o0/edit?usp=sharing"",""งบพรบ!CW47"")"),0)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IFERROR(__xludf.DUMMYFUNCTION("IMPORTRANGE(""https://docs.google.com/spreadsheets/d/1QqKyyYR6Q21VydFLVH3TRQUabQu_ym0Zz7PgGX0-kHA/edit?usp=sharing"",""แผน!Z47"")"),6000)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IFERROR(__xludf.DUMMYFUNCTION("IMPORTRANGE(""https://docs.google.com/spreadsheets/d/1QqKyyYR6Q21VydFLVH3TRQUabQu_ym0Zz7PgGX0-kHA/edit?usp=sharing"",""แผน!AC47"")"),4)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51630</v>
      </c>
      <c r="O198" s="155">
        <f ca="1">IF(L198&gt;0,N198*100/L198,0)</f>
        <v>117.34090909090909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IFERROR(__xludf.DUMMYFUNCTION("IMPORTRANGE(""https://docs.google.com/spreadsheets/d/1QqKyyYR6Q21VydFLVH3TRQUabQu_ym0Zz7PgGX0-kHA/edit?usp=sharing"",""แผน!AE47"")"),3000)</f>
        <v>3000</v>
      </c>
      <c r="M199" s="497"/>
      <c r="N199" s="838">
        <v>1560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IFERROR(__xludf.DUMMYFUNCTION("IMPORTRANGE(""https://docs.google.com/spreadsheets/d/1QqKyyYR6Q21VydFLVH3TRQUabQu_ym0Zz7PgGX0-kHA/edit?usp=sharing"",""แผน!AF47"")"),24000)</f>
        <v>24000</v>
      </c>
      <c r="M200" s="497"/>
      <c r="N200" s="838">
        <v>35070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IFERROR(__xludf.DUMMYFUNCTION("IMPORTRANGE(""https://docs.google.com/spreadsheets/d/1QqKyyYR6Q21VydFLVH3TRQUabQu_ym0Zz7PgGX0-kHA/edit?usp=sharing"",""แผน!AG47"")"),12000)</f>
        <v>12000</v>
      </c>
      <c r="M201" s="497"/>
      <c r="N201" s="838">
        <v>10000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IFERROR(__xludf.DUMMYFUNCTION("IMPORTRANGE(""https://docs.google.com/spreadsheets/d/1QqKyyYR6Q21VydFLVH3TRQUabQu_ym0Zz7PgGX0-kHA/edit?usp=sharing"",""แผน!AH47"")"),5000)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13470</v>
      </c>
      <c r="O209" s="155">
        <f ca="1">IF(L209&gt;0,N209*100/L209,0)</f>
        <v>96.214285714285708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IFERROR(__xludf.DUMMYFUNCTION("IMPORTRANGE(""https://docs.google.com/spreadsheets/d/1QqKyyYR6Q21VydFLVH3TRQUabQu_ym0Zz7PgGX0-kHA/edit?usp=sharing"",""แผน!AK47"")"),1000)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IFERROR(__xludf.DUMMYFUNCTION("IMPORTRANGE(""https://docs.google.com/spreadsheets/d/1QqKyyYR6Q21VydFLVH3TRQUabQu_ym0Zz7PgGX0-kHA/edit?usp=sharing"",""แผน!AL47"")"),5000)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IFERROR(__xludf.DUMMYFUNCTION("IMPORTRANGE(""https://docs.google.com/spreadsheets/d/1QqKyyYR6Q21VydFLVH3TRQUabQu_ym0Zz7PgGX0-kHA/edit?usp=sharing"",""แผน!AM47"")"),8000)</f>
        <v>8000</v>
      </c>
      <c r="M212" s="497"/>
      <c r="N212" s="838">
        <v>8470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IFERROR(__xludf.DUMMYFUNCTION("IMPORTRANGE(""https://docs.google.com/spreadsheets/d/1QqKyyYR6Q21VydFLVH3TRQUabQu_ym0Zz7PgGX0-kHA/edit?usp=sharing"",""แผน!AN47"")"),1)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IFERROR(__xludf.DUMMYFUNCTION("IMPORTRANGE(""https://docs.google.com/spreadsheets/d/1QqKyyYR6Q21VydFLVH3TRQUabQu_ym0Zz7PgGX0-kHA/edit?usp=sharing"",""แผน!AN47"")"),1)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IFERROR(__xludf.DUMMYFUNCTION("IMPORTRANGE(""https://docs.google.com/spreadsheets/d/1QqKyyYR6Q21VydFLVH3TRQUabQu_ym0Zz7PgGX0-kHA/edit?usp=sharing"",""แผน!AP47"")"),5000)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IFERROR(__xludf.DUMMYFUNCTION("IMPORTRANGE(""https://docs.google.com/spreadsheets/d/1QqKyyYR6Q21VydFLVH3TRQUabQu_ym0Zz7PgGX0-kHA/edit?usp=sharing"",""แผน!AQ47"")"),8500)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IFERROR(__xludf.DUMMYFUNCTION("IMPORTRANGE(""https://docs.google.com/spreadsheets/d/1QqKyyYR6Q21VydFLVH3TRQUabQu_ym0Zz7PgGX0-kHA/edit?usp=sharing"",""แผน!AT47"")"),30000)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IFERROR(__xludf.DUMMYFUNCTION("IMPORTRANGE(""https://docs.google.com/spreadsheets/d/1QqKyyYR6Q21VydFLVH3TRQUabQu_ym0Zz7PgGX0-kHA/edit?usp=sharing"",""แผน!AT47"")"),30000)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IFERROR(__xludf.DUMMYFUNCTION("IMPORTRANGE(""https://docs.google.com/spreadsheets/d/1MeEWN-I1oV_STSDYn1IFDPWt_1FKiwhDph83XaGc0o0/edit?usp=sharing"",""งบพรบ!CY47"")"),26900)</f>
        <v>26900</v>
      </c>
      <c r="M266" s="93">
        <f ca="1">IFERROR(__xludf.DUMMYFUNCTION("IMPORTRANGE(""https://docs.google.com/spreadsheets/d/1MeEWN-I1oV_STSDYn1IFDPWt_1FKiwhDph83XaGc0o0/edit?usp=sharing"",""งบพรบ!DD47"")"),23900)</f>
        <v>23900</v>
      </c>
      <c r="N266" s="93">
        <f ca="1">IFERROR(__xludf.DUMMYFUNCTION("IMPORTRANGE(""https://docs.google.com/spreadsheets/d/1MeEWN-I1oV_STSDYn1IFDPWt_1FKiwhDph83XaGc0o0/edit?usp=sharing"",""งบพรบ!DF47"")"),23900)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IFERROR(__xludf.DUMMYFUNCTION("IMPORTRANGE(""https://docs.google.com/spreadsheets/d/1MeEWN-I1oV_STSDYn1IFDPWt_1FKiwhDph83XaGc0o0/edit?usp=sharing"",""งบพรบ!DB47"")"),0)</f>
        <v>0</v>
      </c>
      <c r="M269" s="93">
        <f ca="1">IFERROR(__xludf.DUMMYFUNCTION("IMPORTRANGE(""https://docs.google.com/spreadsheets/d/1MeEWN-I1oV_STSDYn1IFDPWt_1FKiwhDph83XaGc0o0/edit?usp=sharing"",""งบพรบ!DE47"")"),0)</f>
        <v>0</v>
      </c>
      <c r="N269" s="93">
        <f ca="1">IFERROR(__xludf.DUMMYFUNCTION("IMPORTRANGE(""https://docs.google.com/spreadsheets/d/1MeEWN-I1oV_STSDYn1IFDPWt_1FKiwhDph83XaGc0o0/edit?usp=sharing"",""งบพรบ!DG47"")"),0)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9775</v>
      </c>
      <c r="O277" s="155">
        <f t="shared" ref="O277:O285" ca="1" si="126">IF(L277&gt;0,N277*100/L277,0)</f>
        <v>43.194874060981</v>
      </c>
      <c r="P277" s="155">
        <f t="shared" ref="P277:P285" ca="1" si="127">IF(M277&gt;0,N277*100/M277,0)</f>
        <v>74.618320610687022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9775</v>
      </c>
      <c r="O279" s="93">
        <f t="shared" ca="1" si="126"/>
        <v>43.194874060981</v>
      </c>
      <c r="P279" s="93">
        <f t="shared" ca="1" si="127"/>
        <v>74.618320610687022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9775</v>
      </c>
      <c r="O280" s="497">
        <f t="shared" ca="1" si="126"/>
        <v>43.194874060981</v>
      </c>
      <c r="P280" s="497">
        <f t="shared" ca="1" si="127"/>
        <v>74.618320610687022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IFERROR(__xludf.DUMMYFUNCTION("IMPORTRANGE(""https://docs.google.com/spreadsheets/d/1MeEWN-I1oV_STSDYn1IFDPWt_1FKiwhDph83XaGc0o0/edit?usp=sharing"",""งบพรบ!DI47"")"),22630)</f>
        <v>22630</v>
      </c>
      <c r="M282" s="93">
        <f ca="1">IFERROR(__xludf.DUMMYFUNCTION("IMPORTRANGE(""https://docs.google.com/spreadsheets/d/1MeEWN-I1oV_STSDYn1IFDPWt_1FKiwhDph83XaGc0o0/edit?usp=sharing"",""งบพรบ!DN47"")"),13100)</f>
        <v>13100</v>
      </c>
      <c r="N282" s="93">
        <f ca="1">IFERROR(__xludf.DUMMYFUNCTION("IMPORTRANGE(""https://docs.google.com/spreadsheets/d/1MeEWN-I1oV_STSDYn1IFDPWt_1FKiwhDph83XaGc0o0/edit?usp=sharing"",""งบพรบ!DP47"")"),9775)</f>
        <v>9775</v>
      </c>
      <c r="O282" s="93">
        <f t="shared" ca="1" si="126"/>
        <v>43.194874060981</v>
      </c>
      <c r="P282" s="93">
        <f t="shared" ca="1" si="127"/>
        <v>74.618320610687022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IFERROR(__xludf.DUMMYFUNCTION("IMPORTRANGE(""https://docs.google.com/spreadsheets/d/1MeEWN-I1oV_STSDYn1IFDPWt_1FKiwhDph83XaGc0o0/edit?usp=sharing"",""งบพรบ!DL47"")"),0)</f>
        <v>0</v>
      </c>
      <c r="M285" s="93">
        <f ca="1">IFERROR(__xludf.DUMMYFUNCTION("IMPORTRANGE(""https://docs.google.com/spreadsheets/d/1MeEWN-I1oV_STSDYn1IFDPWt_1FKiwhDph83XaGc0o0/edit?usp=sharing"",""งบพรบ!DO47"")"),0)</f>
        <v>0</v>
      </c>
      <c r="N285" s="93">
        <f ca="1">IFERROR(__xludf.DUMMYFUNCTION("IMPORTRANGE(""https://docs.google.com/spreadsheets/d/1MeEWN-I1oV_STSDYn1IFDPWt_1FKiwhDph83XaGc0o0/edit?usp=sharing"",""งบพรบ!DQ47"")"),0)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IFERROR(__xludf.DUMMYFUNCTION("IMPORTRANGE(""https://docs.google.com/spreadsheets/d/1QqKyyYR6Q21VydFLVH3TRQUabQu_ym0Zz7PgGX0-kHA/edit?usp=sharing"",""แผน!EC47"")"),50)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IFERROR(__xludf.DUMMYFUNCTION("IMPORTRANGE(""https://docs.google.com/spreadsheets/d/1QqKyyYR6Q21VydFLVH3TRQUabQu_ym0Zz7PgGX0-kHA/edit?usp=sharing"",""แผน!EB47"")"),5)</f>
        <v>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IFERROR(__xludf.DUMMYFUNCTION("IMPORTRANGE(""https://docs.google.com/spreadsheets/d/1QqKyyYR6Q21VydFLVH3TRQUabQu_ym0Zz7PgGX0-kHA/edit?usp=sharing"",""แผน!EB47"")"),5)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IFERROR(__xludf.DUMMYFUNCTION("IMPORTRANGE(""https://docs.google.com/spreadsheets/d/1QqKyyYR6Q21VydFLVH3TRQUabQu_ym0Zz7PgGX0-kHA/edit?usp=sharing"",""แผน!EB47"")"),5)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IFERROR(__xludf.DUMMYFUNCTION("IMPORTRANGE(""https://docs.google.com/spreadsheets/d/1QqKyyYR6Q21VydFLVH3TRQUabQu_ym0Zz7PgGX0-kHA/edit?usp=sharing"",""แผน!EB47"")"),5)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IFERROR(__xludf.DUMMYFUNCTION("IMPORTRANGE(""https://docs.google.com/spreadsheets/d/1QqKyyYR6Q21VydFLVH3TRQUabQu_ym0Zz7PgGX0-kHA/edit?usp=sharing"",""แผน!EB47"")"),5)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IFERROR(__xludf.DUMMYFUNCTION("IMPORTRANGE(""https://docs.google.com/spreadsheets/d/1MeEWN-I1oV_STSDYn1IFDPWt_1FKiwhDph83XaGc0o0/edit?usp=sharing"",""งบพรบ!DS47"")"),0)</f>
        <v>0</v>
      </c>
      <c r="M303" s="93">
        <f ca="1">IFERROR(__xludf.DUMMYFUNCTION("IMPORTRANGE(""https://docs.google.com/spreadsheets/d/1MeEWN-I1oV_STSDYn1IFDPWt_1FKiwhDph83XaGc0o0/edit?usp=sharing"",""งบพรบ!DX47"")"),0)</f>
        <v>0</v>
      </c>
      <c r="N303" s="93">
        <f ca="1">IFERROR(__xludf.DUMMYFUNCTION("IMPORTRANGE(""https://docs.google.com/spreadsheets/d/1MeEWN-I1oV_STSDYn1IFDPWt_1FKiwhDph83XaGc0o0/edit?usp=sharing"",""งบพรบ!DZ47"")"),0)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IFERROR(__xludf.DUMMYFUNCTION("IMPORTRANGE(""https://docs.google.com/spreadsheets/d/1MeEWN-I1oV_STSDYn1IFDPWt_1FKiwhDph83XaGc0o0/edit?usp=sharing"",""งบพรบ!DV47"")"),0)</f>
        <v>0</v>
      </c>
      <c r="M306" s="93">
        <f ca="1">IFERROR(__xludf.DUMMYFUNCTION("IMPORTRANGE(""https://docs.google.com/spreadsheets/d/1MeEWN-I1oV_STSDYn1IFDPWt_1FKiwhDph83XaGc0o0/edit?usp=sharing"",""งบพรบ!DY47"")"),0)</f>
        <v>0</v>
      </c>
      <c r="N306" s="93">
        <f ca="1">IFERROR(__xludf.DUMMYFUNCTION("IMPORTRANGE(""https://docs.google.com/spreadsheets/d/1MeEWN-I1oV_STSDYn1IFDPWt_1FKiwhDph83XaGc0o0/edit?usp=sharing"",""งบพรบ!EA47"")"),0)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IFERROR(__xludf.DUMMYFUNCTION("IMPORTRANGE(""https://docs.google.com/spreadsheets/d/1MeEWN-I1oV_STSDYn1IFDPWt_1FKiwhDph83XaGc0o0/edit?usp=sharing"",""งบพรบ!EC47"")"),0)</f>
        <v>0</v>
      </c>
      <c r="M320" s="93">
        <f ca="1">IFERROR(__xludf.DUMMYFUNCTION("IMPORTRANGE(""https://docs.google.com/spreadsheets/d/1MeEWN-I1oV_STSDYn1IFDPWt_1FKiwhDph83XaGc0o0/edit?usp=sharing"",""งบพรบ!EH47"")"),0)</f>
        <v>0</v>
      </c>
      <c r="N320" s="93">
        <f ca="1">IFERROR(__xludf.DUMMYFUNCTION("IMPORTRANGE(""https://docs.google.com/spreadsheets/d/1MeEWN-I1oV_STSDYn1IFDPWt_1FKiwhDph83XaGc0o0/edit?usp=sharing"",""งบพรบ!EJ47"")"),0)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IFERROR(__xludf.DUMMYFUNCTION("IMPORTRANGE(""https://docs.google.com/spreadsheets/d/1MeEWN-I1oV_STSDYn1IFDPWt_1FKiwhDph83XaGc0o0/edit?usp=sharing"",""งบพรบ!EF47"")"),0)</f>
        <v>0</v>
      </c>
      <c r="M323" s="93">
        <f ca="1">IFERROR(__xludf.DUMMYFUNCTION("IMPORTRANGE(""https://docs.google.com/spreadsheets/d/1MeEWN-I1oV_STSDYn1IFDPWt_1FKiwhDph83XaGc0o0/edit?usp=sharing"",""งบพรบ!EI47"")"),0)</f>
        <v>0</v>
      </c>
      <c r="N323" s="93">
        <f ca="1">IFERROR(__xludf.DUMMYFUNCTION("IMPORTRANGE(""https://docs.google.com/spreadsheets/d/1MeEWN-I1oV_STSDYn1IFDPWt_1FKiwhDph83XaGc0o0/edit?usp=sharing"",""งบพรบ!EK47"")"),0)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IFERROR(__xludf.DUMMYFUNCTION("IMPORTRANGE(""https://docs.google.com/spreadsheets/d/1QqKyyYR6Q21VydFLVH3TRQUabQu_ym0Zz7PgGX0-kHA/edit?usp=sharing"",""แผน!EG47"")"),3800)</f>
        <v>3800</v>
      </c>
      <c r="J327" s="444">
        <f ca="1">J338+J341+J342+J343</f>
        <v>3737</v>
      </c>
      <c r="K327" s="445">
        <f ca="1">IF(I327&gt;0,J327*100/I327,0)</f>
        <v>98.34210526315789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135250</v>
      </c>
      <c r="N328" s="155">
        <f t="shared" ca="1" si="149"/>
        <v>107569</v>
      </c>
      <c r="O328" s="155">
        <f t="shared" ref="O328:O336" ca="1" si="150">IF(L328&gt;0,N328*100/L328,0)</f>
        <v>60.773446327683615</v>
      </c>
      <c r="P328" s="155">
        <f t="shared" ref="P328:P336" ca="1" si="151">IF(M328&gt;0,N328*100/M328,0)</f>
        <v>79.533456561922364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135250</v>
      </c>
      <c r="N330" s="93">
        <f t="shared" ca="1" si="152"/>
        <v>107569</v>
      </c>
      <c r="O330" s="93">
        <f t="shared" ca="1" si="150"/>
        <v>60.773446327683615</v>
      </c>
      <c r="P330" s="93">
        <f t="shared" ca="1" si="151"/>
        <v>79.533456561922364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107569</v>
      </c>
      <c r="O331" s="497">
        <f t="shared" ca="1" si="150"/>
        <v>60.773446327683615</v>
      </c>
      <c r="P331" s="497">
        <f t="shared" ca="1" si="151"/>
        <v>79.533456561922364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IFERROR(__xludf.DUMMYFUNCTION("IMPORTRANGE(""https://docs.google.com/spreadsheets/d/1MeEWN-I1oV_STSDYn1IFDPWt_1FKiwhDph83XaGc0o0/edit?usp=sharing"",""งบพรบ!EM47"")"),177000)</f>
        <v>177000</v>
      </c>
      <c r="M333" s="93">
        <f ca="1">IFERROR(__xludf.DUMMYFUNCTION("IMPORTRANGE(""https://docs.google.com/spreadsheets/d/1MeEWN-I1oV_STSDYn1IFDPWt_1FKiwhDph83XaGc0o0/edit?usp=sharing"",""งบพรบ!ER47"")"),135250)</f>
        <v>135250</v>
      </c>
      <c r="N333" s="93">
        <f ca="1">IFERROR(__xludf.DUMMYFUNCTION("IMPORTRANGE(""https://docs.google.com/spreadsheets/d/1MeEWN-I1oV_STSDYn1IFDPWt_1FKiwhDph83XaGc0o0/edit?usp=sharing"",""งบพรบ!ET47"")"),107569)</f>
        <v>107569</v>
      </c>
      <c r="O333" s="93">
        <f t="shared" ca="1" si="150"/>
        <v>60.773446327683615</v>
      </c>
      <c r="P333" s="93">
        <f t="shared" ca="1" si="151"/>
        <v>79.533456561922364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IFERROR(__xludf.DUMMYFUNCTION("IMPORTRANGE(""https://docs.google.com/spreadsheets/d/1MeEWN-I1oV_STSDYn1IFDPWt_1FKiwhDph83XaGc0o0/edit?usp=sharing"",""งบพรบ!EP47"")"),0)</f>
        <v>0</v>
      </c>
      <c r="M336" s="93">
        <f ca="1">IFERROR(__xludf.DUMMYFUNCTION("IMPORTRANGE(""https://docs.google.com/spreadsheets/d/1MeEWN-I1oV_STSDYn1IFDPWt_1FKiwhDph83XaGc0o0/edit?usp=sharing"",""งบพรบ!ES47"")"),0)</f>
        <v>0</v>
      </c>
      <c r="N336" s="93">
        <f ca="1">IFERROR(__xludf.DUMMYFUNCTION("IMPORTRANGE(""https://docs.google.com/spreadsheets/d/1MeEWN-I1oV_STSDYn1IFDPWt_1FKiwhDph83XaGc0o0/edit?usp=sharing"",""งบพรบ!EU47"")"),0)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IFERROR(__xludf.DUMMYFUNCTION("IMPORTRANGE(""https://docs.google.com/spreadsheets/d/1QqKyyYR6Q21VydFLVH3TRQUabQu_ym0Zz7PgGX0-kHA/edit?usp=sharing"",""แผน!EG47"")"),3800)</f>
        <v>3800</v>
      </c>
      <c r="J338" s="270">
        <f ca="1">IFERROR(__xludf.DUMMYFUNCTION("IMPORTRANGE(""https://docs.google.com/spreadsheets/d/1kVcqe37tkHyjCSG3S0O1AXqVkqjo8mSIZil3BcpIysc/edit?usp=sharing"",""ศูนย์!D47"")"),2907)</f>
        <v>2907</v>
      </c>
      <c r="K338" s="497">
        <f ca="1">IF(I338&gt;0,J338*100/I338,0)</f>
        <v>76.5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IFERROR(__xludf.DUMMYFUNCTION("IMPORTRANGE(""https://docs.google.com/spreadsheets/d/1QqKyyYR6Q21VydFLVH3TRQUabQu_ym0Zz7PgGX0-kHA/edit?usp=sharing"",""แผน!EH47"")"),7)</f>
        <v>7</v>
      </c>
      <c r="J340" s="270">
        <f ca="1">IFERROR(__xludf.DUMMYFUNCTION("IMPORTRANGE(""https://docs.google.com/spreadsheets/d/1kVcqe37tkHyjCSG3S0O1AXqVkqjo8mSIZil3BcpIysc/edit?usp=sharing"",""ศูนย์!E47"")"),7)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IFERROR(__xludf.DUMMYFUNCTION("IMPORTRANGE(""https://docs.google.com/spreadsheets/d/1kVcqe37tkHyjCSG3S0O1AXqVkqjo8mSIZil3BcpIysc/edit?usp=sharing"",""ศูนย์!F47"")"),830)</f>
        <v>830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1192260</v>
      </c>
      <c r="M345" s="155">
        <f t="shared" ca="1" si="155"/>
        <v>884725</v>
      </c>
      <c r="N345" s="155">
        <f t="shared" ca="1" si="155"/>
        <v>676509.95</v>
      </c>
      <c r="O345" s="155">
        <f t="shared" ref="O345:O353" ca="1" si="156">IF(L345&gt;0,N345*100/L345,0)</f>
        <v>56.74181386610303</v>
      </c>
      <c r="P345" s="155">
        <f t="shared" ref="P345:P353" ca="1" si="157">IF(M345&gt;0,N345*100/M345,0)</f>
        <v>76.465562745485883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1192260</v>
      </c>
      <c r="M347" s="93">
        <f t="shared" ca="1" si="158"/>
        <v>884725</v>
      </c>
      <c r="N347" s="93">
        <f t="shared" ca="1" si="158"/>
        <v>676509.95</v>
      </c>
      <c r="O347" s="93">
        <f t="shared" ca="1" si="156"/>
        <v>56.74181386610303</v>
      </c>
      <c r="P347" s="93">
        <f t="shared" ca="1" si="157"/>
        <v>76.465562745485883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1118160</v>
      </c>
      <c r="M348" s="497">
        <f t="shared" ca="1" si="159"/>
        <v>810625</v>
      </c>
      <c r="N348" s="497">
        <f t="shared" ca="1" si="159"/>
        <v>602409.94999999995</v>
      </c>
      <c r="O348" s="497">
        <f t="shared" ca="1" si="156"/>
        <v>53.87511179079916</v>
      </c>
      <c r="P348" s="497">
        <f t="shared" ca="1" si="157"/>
        <v>74.314257517347713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IFERROR(__xludf.DUMMYFUNCTION("IMPORTRANGE(""https://docs.google.com/spreadsheets/d/1MeEWN-I1oV_STSDYn1IFDPWt_1FKiwhDph83XaGc0o0/edit?usp=sharing"",""งบพรบ!EW47"")"),1118160)</f>
        <v>1118160</v>
      </c>
      <c r="M350" s="93">
        <f ca="1">IFERROR(__xludf.DUMMYFUNCTION("IMPORTRANGE(""https://docs.google.com/spreadsheets/d/1MeEWN-I1oV_STSDYn1IFDPWt_1FKiwhDph83XaGc0o0/edit?usp=sharing"",""งบพรบ!FB47"")"),810625)</f>
        <v>810625</v>
      </c>
      <c r="N350" s="93">
        <f ca="1">IFERROR(__xludf.DUMMYFUNCTION("IMPORTRANGE(""https://docs.google.com/spreadsheets/d/1MeEWN-I1oV_STSDYn1IFDPWt_1FKiwhDph83XaGc0o0/edit?usp=sharing"",""งบพรบ!FD47"")"),602409.95)</f>
        <v>602409.94999999995</v>
      </c>
      <c r="O350" s="93">
        <f t="shared" ca="1" si="156"/>
        <v>53.87511179079916</v>
      </c>
      <c r="P350" s="93">
        <f t="shared" ca="1" si="157"/>
        <v>74.314257517347713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IFERROR(__xludf.DUMMYFUNCTION("IMPORTRANGE(""https://docs.google.com/spreadsheets/d/1MeEWN-I1oV_STSDYn1IFDPWt_1FKiwhDph83XaGc0o0/edit?usp=sharing"",""งบพรบ!EZ47"")"),74100)</f>
        <v>74100</v>
      </c>
      <c r="M353" s="93">
        <f ca="1">IFERROR(__xludf.DUMMYFUNCTION("IMPORTRANGE(""https://docs.google.com/spreadsheets/d/1MeEWN-I1oV_STSDYn1IFDPWt_1FKiwhDph83XaGc0o0/edit?usp=sharing"",""งบพรบ!FC47"")"),74100)</f>
        <v>74100</v>
      </c>
      <c r="N353" s="93">
        <f ca="1">IFERROR(__xludf.DUMMYFUNCTION("IMPORTRANGE(""https://docs.google.com/spreadsheets/d/1MeEWN-I1oV_STSDYn1IFDPWt_1FKiwhDph83XaGc0o0/edit?usp=sharing"",""งบพรบ!FE47"")"),74100)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IFERROR(__xludf.DUMMYFUNCTION("IMPORTRANGE(""https://docs.google.com/spreadsheets/d/1QqKyyYR6Q21VydFLVH3TRQUabQu_ym0Zz7PgGX0-kHA/edit?usp=sharing"",""แผน!EP47"")"),381)</f>
        <v>381</v>
      </c>
      <c r="J355" s="464">
        <f ca="1">J362</f>
        <v>28</v>
      </c>
      <c r="K355" s="465">
        <f ca="1">IF(I355&gt;0,J355*100/I355,0)</f>
        <v>7.349081364829396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IFERROR(__xludf.DUMMYFUNCTION("IMPORTRANGE(""https://docs.google.com/spreadsheets/d/1XWAQStnk-4SwqDmLtmXYiTMKHgktTP8We1SCoS47DrQ/edit?usp=sharing"",""จัดที่ดิน!W47"")"),191)</f>
        <v>191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IFERROR(__xludf.DUMMYFUNCTION("IMPORTRANGE(""https://docs.google.com/spreadsheets/d/1QqKyyYR6Q21VydFLVH3TRQUabQu_ym0Zz7PgGX0-kHA/edit?usp=sharing"",""แผน!EO47"")"),4100)</f>
        <v>4100</v>
      </c>
      <c r="J359" s="270">
        <f ca="1">IFERROR(__xludf.DUMMYFUNCTION("IMPORTRANGE(""https://docs.google.com/spreadsheets/d/1XWAQStnk-4SwqDmLtmXYiTMKHgktTP8We1SCoS47DrQ/edit?usp=sharing"",""จัดที่ดิน!X47"")"),2122.11)</f>
        <v>2122.11</v>
      </c>
      <c r="K359" s="497">
        <f t="shared" ca="1" si="161"/>
        <v>51.758780487804877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IFERROR(__xludf.DUMMYFUNCTION("IMPORTRANGE(""https://docs.google.com/spreadsheets/d/1QqKyyYR6Q21VydFLVH3TRQUabQu_ym0Zz7PgGX0-kHA/edit?usp=sharing"",""แผน!EP47"")"),381)</f>
        <v>381</v>
      </c>
      <c r="J360" s="270">
        <f ca="1">IFERROR(__xludf.DUMMYFUNCTION("IMPORTRANGE(""https://docs.google.com/spreadsheets/d/1XWAQStnk-4SwqDmLtmXYiTMKHgktTP8We1SCoS47DrQ/edit?usp=sharing"",""จัดที่ดิน!Y47"")"),199)</f>
        <v>199</v>
      </c>
      <c r="K360" s="497">
        <f t="shared" ca="1" si="161"/>
        <v>52.230971128608921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IFERROR(__xludf.DUMMYFUNCTION("IMPORTRANGE(""https://docs.google.com/spreadsheets/d/1XWAQStnk-4SwqDmLtmXYiTMKHgktTP8We1SCoS47DrQ/edit?usp=sharing"",""จัดที่ดิน!Z47"")"),2236.43)</f>
        <v>2236.4299999999998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IFERROR(__xludf.DUMMYFUNCTION("IMPORTRANGE(""https://docs.google.com/spreadsheets/d/1QqKyyYR6Q21VydFLVH3TRQUabQu_ym0Zz7PgGX0-kHA/edit?usp=sharing"",""แผน!EP47"")"),381)</f>
        <v>381</v>
      </c>
      <c r="J362" s="270">
        <f ca="1">IFERROR(__xludf.DUMMYFUNCTION("IMPORTRANGE(""https://docs.google.com/spreadsheets/d/1XWAQStnk-4SwqDmLtmXYiTMKHgktTP8We1SCoS47DrQ/edit?usp=sharing"",""จัดที่ดิน!AA47"")"),28)</f>
        <v>28</v>
      </c>
      <c r="K362" s="497">
        <f t="shared" ca="1" si="161"/>
        <v>7.349081364829396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IFERROR(__xludf.DUMMYFUNCTION("IMPORTRANGE(""https://docs.google.com/spreadsheets/d/1XWAQStnk-4SwqDmLtmXYiTMKHgktTP8We1SCoS47DrQ/edit?usp=sharing"",""จัดที่ดิน!AB47"")"),291.36)</f>
        <v>291.36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801</v>
      </c>
      <c r="J364" s="478">
        <f t="shared" ca="1" si="162"/>
        <v>335</v>
      </c>
      <c r="K364" s="479">
        <f t="shared" ca="1" si="161"/>
        <v>41.822721598002495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IFERROR(__xludf.DUMMYFUNCTION("IMPORTRANGE(""https://docs.google.com/spreadsheets/d/1QqKyyYR6Q21VydFLVH3TRQUabQu_ym0Zz7PgGX0-kHA/edit?usp=sharing"",""แผน!EJ47"")"),10)</f>
        <v>10</v>
      </c>
      <c r="J365" s="490">
        <f ca="1">J372</f>
        <v>10</v>
      </c>
      <c r="K365" s="491">
        <f t="shared" ca="1" si="161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IFERROR(__xludf.DUMMYFUNCTION("IMPORTRANGE(""https://docs.google.com/spreadsheets/d/1XWAQStnk-4SwqDmLtmXYiTMKHgktTP8We1SCoS47DrQ/edit?usp=sharing"",""จัดที่ดิน!E47"")"),2)</f>
        <v>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IFERROR(__xludf.DUMMYFUNCTION("IMPORTRANGE(""https://docs.google.com/spreadsheets/d/1QqKyyYR6Q21VydFLVH3TRQUabQu_ym0Zz7PgGX0-kHA/edit?usp=sharing"",""แผน!EI47"")"),100)</f>
        <v>100</v>
      </c>
      <c r="J369" s="270">
        <f ca="1">IFERROR(__xludf.DUMMYFUNCTION("IMPORTRANGE(""https://docs.google.com/spreadsheets/d/1XWAQStnk-4SwqDmLtmXYiTMKHgktTP8We1SCoS47DrQ/edit?usp=sharing"",""จัดที่ดิน!F47"")"),16.1)</f>
        <v>16.100000000000001</v>
      </c>
      <c r="K369" s="497">
        <f t="shared" ca="1" si="163"/>
        <v>16.100000000000001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IFERROR(__xludf.DUMMYFUNCTION("IMPORTRANGE(""https://docs.google.com/spreadsheets/d/1QqKyyYR6Q21VydFLVH3TRQUabQu_ym0Zz7PgGX0-kHA/edit?usp=sharing"",""แผน!EJ47"")"),10)</f>
        <v>10</v>
      </c>
      <c r="J370" s="270">
        <f ca="1">IFERROR(__xludf.DUMMYFUNCTION("IMPORTRANGE(""https://docs.google.com/spreadsheets/d/1XWAQStnk-4SwqDmLtmXYiTMKHgktTP8We1SCoS47DrQ/edit?usp=sharing"",""จัดที่ดิน!G47"")"),10)</f>
        <v>10</v>
      </c>
      <c r="K370" s="497">
        <f t="shared" ca="1" si="163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IFERROR(__xludf.DUMMYFUNCTION("IMPORTRANGE(""https://docs.google.com/spreadsheets/d/1XWAQStnk-4SwqDmLtmXYiTMKHgktTP8We1SCoS47DrQ/edit?usp=sharing"",""จัดที่ดิน!H47"")"),130.42)</f>
        <v>130.41999999999999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IFERROR(__xludf.DUMMYFUNCTION("IMPORTRANGE(""https://docs.google.com/spreadsheets/d/1QqKyyYR6Q21VydFLVH3TRQUabQu_ym0Zz7PgGX0-kHA/edit?usp=sharing"",""แผน!EJ47"")"),10)</f>
        <v>10</v>
      </c>
      <c r="J372" s="270">
        <f ca="1">IFERROR(__xludf.DUMMYFUNCTION("IMPORTRANGE(""https://docs.google.com/spreadsheets/d/1XWAQStnk-4SwqDmLtmXYiTMKHgktTP8We1SCoS47DrQ/edit?usp=sharing"",""จัดที่ดิน!I47"")"),10)</f>
        <v>10</v>
      </c>
      <c r="K372" s="497">
        <f t="shared" ca="1" si="163"/>
        <v>100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IFERROR(__xludf.DUMMYFUNCTION("IMPORTRANGE(""https://docs.google.com/spreadsheets/d/1XWAQStnk-4SwqDmLtmXYiTMKHgktTP8We1SCoS47DrQ/edit?usp=sharing"",""จัดที่ดิน!J47"")"),130.42)</f>
        <v>130.41999999999999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IFERROR(__xludf.DUMMYFUNCTION("IMPORTRANGE(""https://docs.google.com/spreadsheets/d/1QqKyyYR6Q21VydFLVH3TRQUabQu_ym0Zz7PgGX0-kHA/edit?usp=sharing"",""แผน!EU47"")"),791)</f>
        <v>791</v>
      </c>
      <c r="J374" s="490">
        <f ca="1">J381</f>
        <v>325</v>
      </c>
      <c r="K374" s="491">
        <f t="shared" ca="1" si="163"/>
        <v>41.087231352718078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IFERROR(__xludf.DUMMYFUNCTION("IMPORTRANGE(""https://docs.google.com/spreadsheets/d/1XWAQStnk-4SwqDmLtmXYiTMKHgktTP8We1SCoS47DrQ/edit?usp=sharing"",""จัดที่ดิน!AH47"")"),189)</f>
        <v>189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IFERROR(__xludf.DUMMYFUNCTION("IMPORTRANGE(""https://docs.google.com/spreadsheets/d/1QqKyyYR6Q21VydFLVH3TRQUabQu_ym0Zz7PgGX0-kHA/edit?usp=sharing"",""แผน!ET47"")"),4000)</f>
        <v>4000</v>
      </c>
      <c r="J378" s="270">
        <f ca="1">IFERROR(__xludf.DUMMYFUNCTION("IMPORTRANGE(""https://docs.google.com/spreadsheets/d/1XWAQStnk-4SwqDmLtmXYiTMKHgktTP8We1SCoS47DrQ/edit?usp=sharing"",""จัดที่ดิน!AI47"")"),2106.01)</f>
        <v>2106.0100000000002</v>
      </c>
      <c r="K378" s="497">
        <f t="shared" ca="1" si="164"/>
        <v>52.650250000000007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IFERROR(__xludf.DUMMYFUNCTION("IMPORTRANGE(""https://docs.google.com/spreadsheets/d/1QqKyyYR6Q21VydFLVH3TRQUabQu_ym0Zz7PgGX0-kHA/edit?usp=sharing"",""แผน!EU47"")"),791)</f>
        <v>791</v>
      </c>
      <c r="J379" s="270">
        <f ca="1">IFERROR(__xludf.DUMMYFUNCTION("IMPORTRANGE(""https://docs.google.com/spreadsheets/d/1XWAQStnk-4SwqDmLtmXYiTMKHgktTP8We1SCoS47DrQ/edit?usp=sharing"",""จัดที่ดิน!AJ47"")"),497)</f>
        <v>497</v>
      </c>
      <c r="K379" s="497">
        <f t="shared" ca="1" si="164"/>
        <v>62.831858407079643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IFERROR(__xludf.DUMMYFUNCTION("IMPORTRANGE(""https://docs.google.com/spreadsheets/d/1XWAQStnk-4SwqDmLtmXYiTMKHgktTP8We1SCoS47DrQ/edit?usp=sharing"",""จัดที่ดิน!AK47"")"),7046.62)</f>
        <v>7046.62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IFERROR(__xludf.DUMMYFUNCTION("IMPORTRANGE(""https://docs.google.com/spreadsheets/d/1QqKyyYR6Q21VydFLVH3TRQUabQu_ym0Zz7PgGX0-kHA/edit?usp=sharing"",""แผน!EU47"")"),791)</f>
        <v>791</v>
      </c>
      <c r="J381" s="270">
        <f ca="1">IFERROR(__xludf.DUMMYFUNCTION("IMPORTRANGE(""https://docs.google.com/spreadsheets/d/1XWAQStnk-4SwqDmLtmXYiTMKHgktTP8We1SCoS47DrQ/edit?usp=sharing"",""จัดที่ดิน!AL47"")"),325)</f>
        <v>325</v>
      </c>
      <c r="K381" s="497">
        <f t="shared" ca="1" si="164"/>
        <v>41.087231352718078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IFERROR(__xludf.DUMMYFUNCTION("IMPORTRANGE(""https://docs.google.com/spreadsheets/d/1XWAQStnk-4SwqDmLtmXYiTMKHgktTP8We1SCoS47DrQ/edit?usp=sharing"",""จัดที่ดิน!AM47"")"),5088.57)</f>
        <v>5088.57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IFERROR(__xludf.DUMMYFUNCTION("IMPORTRANGE(""https://docs.google.com/spreadsheets/d/1QqKyyYR6Q21VydFLVH3TRQUabQu_ym0Zz7PgGX0-kHA/edit?usp=sharing"",""แผน!EW47"")"),120)</f>
        <v>120</v>
      </c>
      <c r="J385" s="504">
        <f ca="1">IFERROR(__xludf.DUMMYFUNCTION("IMPORTRANGE(""https://docs.google.com/spreadsheets/d/1XWAQStnk-4SwqDmLtmXYiTMKHgktTP8We1SCoS47DrQ/edit?usp=sharing"",""จัดที่ดิน!AP47"")"),0)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IFERROR(__xludf.DUMMYFUNCTION("IMPORTRANGE(""https://docs.google.com/spreadsheets/d/1MeEWN-I1oV_STSDYn1IFDPWt_1FKiwhDph83XaGc0o0/edit?usp=sharing"",""งบพรบ!FG47"")"),0)</f>
        <v>0</v>
      </c>
      <c r="M394" s="93">
        <f ca="1">IFERROR(__xludf.DUMMYFUNCTION("IMPORTRANGE(""https://docs.google.com/spreadsheets/d/1MeEWN-I1oV_STSDYn1IFDPWt_1FKiwhDph83XaGc0o0/edit?usp=sharing"",""งบพรบ!FL47"")"),0)</f>
        <v>0</v>
      </c>
      <c r="N394" s="93">
        <f ca="1">IFERROR(__xludf.DUMMYFUNCTION("IMPORTRANGE(""https://docs.google.com/spreadsheets/d/1MeEWN-I1oV_STSDYn1IFDPWt_1FKiwhDph83XaGc0o0/edit?usp=sharing"",""งบพรบ!FN47"")"),0)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IFERROR(__xludf.DUMMYFUNCTION("IMPORTRANGE(""https://docs.google.com/spreadsheets/d/1MeEWN-I1oV_STSDYn1IFDPWt_1FKiwhDph83XaGc0o0/edit?usp=sharing"",""งบพรบ!FJ47"")"),0)</f>
        <v>0</v>
      </c>
      <c r="M397" s="93">
        <f ca="1">IFERROR(__xludf.DUMMYFUNCTION("IMPORTRANGE(""https://docs.google.com/spreadsheets/d/1MeEWN-I1oV_STSDYn1IFDPWt_1FKiwhDph83XaGc0o0/edit?usp=sharing"",""งบพรบ!FM47"")"),0)</f>
        <v>0</v>
      </c>
      <c r="N397" s="93">
        <f ca="1">IFERROR(__xludf.DUMMYFUNCTION("IMPORTRANGE(""https://docs.google.com/spreadsheets/d/1MeEWN-I1oV_STSDYn1IFDPWt_1FKiwhDph83XaGc0o0/edit?usp=sharing"",""งบพรบ!FO47"")"),0)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IFERROR(__xludf.DUMMYFUNCTION("IMPORTRANGE(""https://docs.google.com/spreadsheets/d/1MeEWN-I1oV_STSDYn1IFDPWt_1FKiwhDph83XaGc0o0/edit?usp=sharing"",""งบพรบ!FQ47"")"),0)</f>
        <v>0</v>
      </c>
      <c r="M407" s="93">
        <f ca="1">IFERROR(__xludf.DUMMYFUNCTION("IMPORTRANGE(""https://docs.google.com/spreadsheets/d/1MeEWN-I1oV_STSDYn1IFDPWt_1FKiwhDph83XaGc0o0/edit?usp=sharing"",""งบพรบ!FV47"")"),0)</f>
        <v>0</v>
      </c>
      <c r="N407" s="93">
        <f ca="1">IFERROR(__xludf.DUMMYFUNCTION("IMPORTRANGE(""https://docs.google.com/spreadsheets/d/1MeEWN-I1oV_STSDYn1IFDPWt_1FKiwhDph83XaGc0o0/edit?usp=sharing"",""งบพรบ!FX47"")"),0)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IFERROR(__xludf.DUMMYFUNCTION("IMPORTRANGE(""https://docs.google.com/spreadsheets/d/1MeEWN-I1oV_STSDYn1IFDPWt_1FKiwhDph83XaGc0o0/edit?usp=sharing"",""งบพรบ!FT47"")"),0)</f>
        <v>0</v>
      </c>
      <c r="M410" s="93">
        <f ca="1">IFERROR(__xludf.DUMMYFUNCTION("IMPORTRANGE(""https://docs.google.com/spreadsheets/d/1MeEWN-I1oV_STSDYn1IFDPWt_1FKiwhDph83XaGc0o0/edit?usp=sharing"",""งบพรบ!FW47"")"),0)</f>
        <v>0</v>
      </c>
      <c r="N410" s="93">
        <f ca="1">IFERROR(__xludf.DUMMYFUNCTION("IMPORTRANGE(""https://docs.google.com/spreadsheets/d/1MeEWN-I1oV_STSDYn1IFDPWt_1FKiwhDph83XaGc0o0/edit?usp=sharing"",""งบพรบ!FY47"")"),0)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2030048</v>
      </c>
      <c r="M414" s="552">
        <f t="shared" ca="1" si="181"/>
        <v>2015564</v>
      </c>
      <c r="N414" s="552">
        <f t="shared" si="181"/>
        <v>884110.63</v>
      </c>
      <c r="O414" s="552">
        <f ca="1">IF(L414&gt;0,N414*100/L414,0)</f>
        <v>43.551218000756634</v>
      </c>
      <c r="P414" s="552">
        <f ca="1">IF(M414&gt;0,N414*100/M414,0)</f>
        <v>43.864180447755565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57839</v>
      </c>
      <c r="O419" s="155">
        <f t="shared" ref="O419:O424" ca="1" si="185">IF(L419&gt;0,N419*100/L419,0)</f>
        <v>73.530383930841595</v>
      </c>
      <c r="P419" s="155">
        <f t="shared" ref="P419:P424" ca="1" si="186">IF(M419&gt;0,N419*100/M419,0)</f>
        <v>73.530383930841595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57839</v>
      </c>
      <c r="O421" s="93">
        <f t="shared" ca="1" si="185"/>
        <v>73.530383930841595</v>
      </c>
      <c r="P421" s="93">
        <f t="shared" ca="1" si="186"/>
        <v>73.530383930841595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57839</v>
      </c>
      <c r="O422" s="497">
        <f t="shared" ca="1" si="185"/>
        <v>73.530383930841595</v>
      </c>
      <c r="P422" s="497">
        <f t="shared" ca="1" si="186"/>
        <v>73.530383930841595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IFERROR(__xludf.DUMMYFUNCTION("IMPORTRANGE(""https://docs.google.com/spreadsheets/d/1QqKyyYR6Q21VydFLVH3TRQUabQu_ym0Zz7PgGX0-kHA/edit?usp=sharing"",""แผน!EY47"")"),78660)</f>
        <v>78660</v>
      </c>
      <c r="M424" s="93">
        <f ca="1">L424</f>
        <v>78660</v>
      </c>
      <c r="N424" s="93">
        <f>N425+N426+N427+N428</f>
        <v>57839</v>
      </c>
      <c r="O424" s="93">
        <f t="shared" ca="1" si="185"/>
        <v>73.530383930841595</v>
      </c>
      <c r="P424" s="93">
        <f t="shared" ca="1" si="186"/>
        <v>73.530383930841595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52139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5700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IFERROR(__xludf.DUMMYFUNCTION("IMPORTRANGE(""https://docs.google.com/spreadsheets/d/1QqKyyYR6Q21VydFLVH3TRQUabQu_ym0Zz7PgGX0-kHA/edit?usp=sharing"",""แผน!FC47"")"),20)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IFERROR(__xludf.DUMMYFUNCTION("IMPORTRANGE(""https://docs.google.com/spreadsheets/d/1QqKyyYR6Q21VydFLVH3TRQUabQu_ym0Zz7PgGX0-kHA/edit?usp=sharing"",""แผน!FF47"")"),20)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733184</v>
      </c>
      <c r="M444" s="195">
        <f t="shared" ca="1" si="197"/>
        <v>718700</v>
      </c>
      <c r="N444" s="195">
        <f t="shared" si="197"/>
        <v>260677.25</v>
      </c>
      <c r="O444" s="195">
        <f t="shared" ref="O444:O449" ca="1" si="198">IF(L444&gt;0,N444*100/L444,0)</f>
        <v>35.554137842615226</v>
      </c>
      <c r="P444" s="195">
        <f t="shared" ref="P444:P449" ca="1" si="199">IF(M444&gt;0,N444*100/M444,0)</f>
        <v>36.270662306943095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733184</v>
      </c>
      <c r="M446" s="93">
        <f t="shared" ca="1" si="200"/>
        <v>718700</v>
      </c>
      <c r="N446" s="93">
        <f t="shared" si="200"/>
        <v>260677.25</v>
      </c>
      <c r="O446" s="93">
        <f t="shared" ca="1" si="198"/>
        <v>35.554137842615226</v>
      </c>
      <c r="P446" s="93">
        <f t="shared" ca="1" si="199"/>
        <v>36.270662306943095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733184</v>
      </c>
      <c r="M447" s="497">
        <f t="shared" ca="1" si="201"/>
        <v>718700</v>
      </c>
      <c r="N447" s="497">
        <f t="shared" si="201"/>
        <v>260677.25</v>
      </c>
      <c r="O447" s="497">
        <f t="shared" ca="1" si="198"/>
        <v>35.554137842615226</v>
      </c>
      <c r="P447" s="497">
        <f t="shared" ca="1" si="199"/>
        <v>36.270662306943095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IFERROR(__xludf.DUMMYFUNCTION("IMPORTRANGE(""https://docs.google.com/spreadsheets/d/1QqKyyYR6Q21VydFLVH3TRQUabQu_ym0Zz7PgGX0-kHA/edit?usp=sharing"",""แผน!FJ47"")"),733184)</f>
        <v>733184</v>
      </c>
      <c r="M449" s="93">
        <f ca="1">L449-14484</f>
        <v>718700</v>
      </c>
      <c r="N449" s="93">
        <f>N450+N451+N452+N453</f>
        <v>260677.25</v>
      </c>
      <c r="O449" s="93">
        <f t="shared" ca="1" si="198"/>
        <v>35.554137842615226</v>
      </c>
      <c r="P449" s="93">
        <f t="shared" ca="1" si="199"/>
        <v>36.270662306943095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142530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75027.25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43120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IFERROR(__xludf.DUMMYFUNCTION("IMPORTRANGE(""https://docs.google.com/spreadsheets/d/1QqKyyYR6Q21VydFLVH3TRQUabQu_ym0Zz7PgGX0-kHA/edit?usp=sharing"",""แผน!FN47"")"),90)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IFERROR(__xludf.DUMMYFUNCTION("IMPORTRANGE(""https://docs.google.com/spreadsheets/d/1QqKyyYR6Q21VydFLVH3TRQUabQu_ym0Zz7PgGX0-kHA/edit?usp=sharing"",""แผน!FO47"")"),400)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IFERROR(__xludf.DUMMYFUNCTION("IMPORTRANGE(""https://docs.google.com/spreadsheets/d/1QqKyyYR6Q21VydFLVH3TRQUabQu_ym0Zz7PgGX0-kHA/edit?usp=sharing"",""แผน!FO47"")"),400)</f>
        <v>400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IFERROR(__xludf.DUMMYFUNCTION("IMPORTRANGE(""https://docs.google.com/spreadsheets/d/1QqKyyYR6Q21VydFLVH3TRQUabQu_ym0Zz7PgGX0-kHA/edit?usp=sharing"",""แผน!FN47"")"),90)</f>
        <v>90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IFERROR(__xludf.DUMMYFUNCTION("IMPORTRANGE(""https://docs.google.com/spreadsheets/d/1QqKyyYR6Q21VydFLVH3TRQUabQu_ym0Zz7PgGX0-kHA/edit?usp=sharing"",""แผน!FX47"")"),51)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IFERROR(__xludf.DUMMYFUNCTION("IMPORTRANGE(""https://docs.google.com/spreadsheets/d/1QqKyyYR6Q21VydFLVH3TRQUabQu_ym0Zz7PgGX0-kHA/edit?usp=sharing"",""แผน!FW47"")"),500)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414993</v>
      </c>
      <c r="M467" s="195">
        <f t="shared" ca="1" si="206"/>
        <v>414993</v>
      </c>
      <c r="N467" s="195">
        <f t="shared" si="206"/>
        <v>82180</v>
      </c>
      <c r="O467" s="195">
        <f t="shared" ref="O467:O472" ca="1" si="207">IF(L467&gt;0,N467*100/L467,0)</f>
        <v>19.802743660736446</v>
      </c>
      <c r="P467" s="195">
        <f t="shared" ref="P467:P472" ca="1" si="208">IF(M467&gt;0,N467*100/M467,0)</f>
        <v>19.802743660736446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414993</v>
      </c>
      <c r="M469" s="93">
        <f t="shared" ca="1" si="209"/>
        <v>414993</v>
      </c>
      <c r="N469" s="93">
        <f t="shared" si="209"/>
        <v>82180</v>
      </c>
      <c r="O469" s="93">
        <f t="shared" ca="1" si="207"/>
        <v>19.802743660736446</v>
      </c>
      <c r="P469" s="93">
        <f t="shared" ca="1" si="208"/>
        <v>19.802743660736446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414993</v>
      </c>
      <c r="M470" s="497">
        <f t="shared" ca="1" si="210"/>
        <v>414993</v>
      </c>
      <c r="N470" s="497">
        <f t="shared" si="210"/>
        <v>82180</v>
      </c>
      <c r="O470" s="497">
        <f t="shared" ca="1" si="207"/>
        <v>19.802743660736446</v>
      </c>
      <c r="P470" s="497">
        <f t="shared" ca="1" si="208"/>
        <v>19.802743660736446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IFERROR(__xludf.DUMMYFUNCTION("IMPORTRANGE(""https://docs.google.com/spreadsheets/d/1QqKyyYR6Q21VydFLVH3TRQUabQu_ym0Zz7PgGX0-kHA/edit?usp=sharing"",""แผน!FS47"")"),414993)</f>
        <v>414993</v>
      </c>
      <c r="M472" s="93">
        <f ca="1">L472</f>
        <v>414993</v>
      </c>
      <c r="N472" s="93">
        <f>N473+N474+N475+N476</f>
        <v>82180</v>
      </c>
      <c r="O472" s="93">
        <f t="shared" ca="1" si="207"/>
        <v>19.802743660736446</v>
      </c>
      <c r="P472" s="93">
        <f t="shared" ca="1" si="208"/>
        <v>19.802743660736446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64890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1200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16090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IFERROR(__xludf.DUMMYFUNCTION("IMPORTRANGE(""https://docs.google.com/spreadsheets/d/1QqKyyYR6Q21VydFLVH3TRQUabQu_ym0Zz7PgGX0-kHA/edit?usp=sharing"",""แผน!FY47"")"),450)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IFERROR(__xludf.DUMMYFUNCTION("IMPORTRANGE(""https://docs.google.com/spreadsheets/d/1QqKyyYR6Q21VydFLVH3TRQUabQu_ym0Zz7PgGX0-kHA/edit?usp=sharing"",""แผน!FZ47"")"),45)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IFERROR(__xludf.DUMMYFUNCTION("IMPORTRANGE(""https://docs.google.com/spreadsheets/d/1QqKyyYR6Q21VydFLVH3TRQUabQu_ym0Zz7PgGX0-kHA/edit?usp=sharing"",""แผน!GA47"")"),50)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IFERROR(__xludf.DUMMYFUNCTION("IMPORTRANGE(""https://docs.google.com/spreadsheets/d/1QqKyyYR6Q21VydFLVH3TRQUabQu_ym0Zz7PgGX0-kHA/edit?usp=sharing"",""แผน!GB47"")"),5)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IFERROR(__xludf.DUMMYFUNCTION("IMPORTRANGE(""https://docs.google.com/spreadsheets/d/1QqKyyYR6Q21VydFLVH3TRQUabQu_ym0Zz7PgGX0-kHA/edit?usp=sharing"",""แผน!FY47"")"),450)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IFERROR(__xludf.DUMMYFUNCTION("IMPORTRANGE(""https://docs.google.com/spreadsheets/d/1QqKyyYR6Q21VydFLVH3TRQUabQu_ym0Zz7PgGX0-kHA/edit?usp=sharing"",""แผน!GA47"")"),50)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3345</v>
      </c>
      <c r="J543" s="685">
        <f t="shared" si="235"/>
        <v>3329</v>
      </c>
      <c r="K543" s="686">
        <f t="shared" ca="1" si="234"/>
        <v>99.521674140508225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361311</v>
      </c>
      <c r="M544" s="155">
        <f t="shared" ca="1" si="236"/>
        <v>361311</v>
      </c>
      <c r="N544" s="155">
        <f t="shared" si="236"/>
        <v>284307</v>
      </c>
      <c r="O544" s="155">
        <f t="shared" ref="O544:O549" ca="1" si="237">IF(L544&gt;0,N544*100/L544,0)</f>
        <v>78.687612610742548</v>
      </c>
      <c r="P544" s="155">
        <f t="shared" ref="P544:P549" ca="1" si="238">IF(M544&gt;0,N544*100/M544,0)</f>
        <v>78.687612610742548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361311</v>
      </c>
      <c r="M546" s="93">
        <f t="shared" ca="1" si="240"/>
        <v>361311</v>
      </c>
      <c r="N546" s="93">
        <f t="shared" si="240"/>
        <v>284307</v>
      </c>
      <c r="O546" s="93">
        <f t="shared" ca="1" si="237"/>
        <v>78.687612610742548</v>
      </c>
      <c r="P546" s="93">
        <f t="shared" ca="1" si="238"/>
        <v>78.687612610742548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361311</v>
      </c>
      <c r="M547" s="497">
        <f t="shared" ca="1" si="241"/>
        <v>361311</v>
      </c>
      <c r="N547" s="497">
        <f t="shared" si="241"/>
        <v>284307</v>
      </c>
      <c r="O547" s="497">
        <f t="shared" ca="1" si="237"/>
        <v>78.687612610742548</v>
      </c>
      <c r="P547" s="497">
        <f t="shared" ca="1" si="238"/>
        <v>78.687612610742548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IFERROR(__xludf.DUMMYFUNCTION("IMPORTRANGE(""https://docs.google.com/spreadsheets/d/1QqKyyYR6Q21VydFLVH3TRQUabQu_ym0Zz7PgGX0-kHA/edit?usp=sharing"",""แผน!HB47"")"),361311)</f>
        <v>361311</v>
      </c>
      <c r="M549" s="93">
        <f ca="1">L549</f>
        <v>361311</v>
      </c>
      <c r="N549" s="93">
        <f>N550+N551+N552+N553+N554</f>
        <v>284307</v>
      </c>
      <c r="O549" s="93">
        <f t="shared" ca="1" si="237"/>
        <v>78.687612610742548</v>
      </c>
      <c r="P549" s="93">
        <f t="shared" ca="1" si="238"/>
        <v>78.687612610742548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77124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207183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3345</v>
      </c>
      <c r="J559" s="706">
        <f t="shared" si="245"/>
        <v>3329</v>
      </c>
      <c r="K559" s="675">
        <f t="shared" ref="K559:K561" ca="1" si="246">IF(I559&gt;0,J559*100/I559,0)</f>
        <v>99.521674140508225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IFERROR(__xludf.DUMMYFUNCTION("IMPORTRANGE(""https://docs.google.com/spreadsheets/d/1QqKyyYR6Q21VydFLVH3TRQUabQu_ym0Zz7PgGX0-kHA/edit?usp=sharing"",""แผน!HH47"")"),3345)</f>
        <v>3345</v>
      </c>
      <c r="J560" s="193">
        <f t="shared" ref="J560:J561" si="247">J562+J564+J566</f>
        <v>3528.72</v>
      </c>
      <c r="K560" s="411">
        <f t="shared" ca="1" si="246"/>
        <v>105.49237668161435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IFERROR(__xludf.DUMMYFUNCTION("IMPORTRANGE(""https://docs.google.com/spreadsheets/d/1QqKyyYR6Q21VydFLVH3TRQUabQu_ym0Zz7PgGX0-kHA/edit?usp=sharing"",""แผน!HG47"")"),1178)</f>
        <v>1178</v>
      </c>
      <c r="J561" s="193">
        <f t="shared" si="247"/>
        <v>1220</v>
      </c>
      <c r="K561" s="411">
        <f t="shared" ca="1" si="246"/>
        <v>103.56536502546689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3138.22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1122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304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80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86.5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IFERROR(__xludf.DUMMYFUNCTION("IMPORTRANGE(""https://docs.google.com/spreadsheets/d/1QqKyyYR6Q21VydFLVH3TRQUabQu_ym0Zz7PgGX0-kHA/edit?usp=sharing"",""แผน!HH47"")"),3345)</f>
        <v>3345</v>
      </c>
      <c r="J568" s="679">
        <f t="shared" ref="J568:J569" si="248">J570+J572+J574</f>
        <v>3345.5</v>
      </c>
      <c r="K568" s="411">
        <f t="shared" ref="K568:K569" ca="1" si="249">IF(I568&gt;0,J568*100/I568,0)</f>
        <v>100.01494768310911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IFERROR(__xludf.DUMMYFUNCTION("IMPORTRANGE(""https://docs.google.com/spreadsheets/d/1QqKyyYR6Q21VydFLVH3TRQUabQu_ym0Zz7PgGX0-kHA/edit?usp=sharing"",""แผน!HG47"")"),1178)</f>
        <v>1178</v>
      </c>
      <c r="J569" s="679">
        <f t="shared" si="248"/>
        <v>1178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3025.6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1088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233.4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86.5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IFERROR(__xludf.DUMMYFUNCTION("IMPORTRANGE(""https://docs.google.com/spreadsheets/d/1QqKyyYR6Q21VydFLVH3TRQUabQu_ym0Zz7PgGX0-kHA/edit?usp=sharing"",""แผน!HH47"")"),3345)</f>
        <v>3345</v>
      </c>
      <c r="J576" s="679">
        <f t="shared" ref="J576:J577" si="250">J578+J580+J582+J588+J590</f>
        <v>3329</v>
      </c>
      <c r="K576" s="411">
        <f t="shared" ref="K576:K577" ca="1" si="251">IF(I576&gt;0,J576*100/I576,0)</f>
        <v>99.521674140508225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IFERROR(__xludf.DUMMYFUNCTION("IMPORTRANGE(""https://docs.google.com/spreadsheets/d/1QqKyyYR6Q21VydFLVH3TRQUabQu_ym0Zz7PgGX0-kHA/edit?usp=sharing"",""แผน!HG47"")"),1178)</f>
        <v>1178</v>
      </c>
      <c r="J577" s="679">
        <f t="shared" si="250"/>
        <v>1176</v>
      </c>
      <c r="K577" s="411">
        <f t="shared" ca="1" si="251"/>
        <v>99.830220713073004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3148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1129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70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16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70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98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28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5126.55</v>
      </c>
      <c r="J592" s="706">
        <f t="shared" si="253"/>
        <v>2387</v>
      </c>
      <c r="K592" s="675">
        <f t="shared" ref="K592:K594" ca="1" si="254">IF(I592&gt;0,J592*100/I592,0)</f>
        <v>46.561527733075849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IFERROR(__xludf.DUMMYFUNCTION("IMPORTRANGE(""https://docs.google.com/spreadsheets/d/1QqKyyYR6Q21VydFLVH3TRQUabQu_ym0Zz7PgGX0-kHA/edit?usp=sharing"",""แผน!HJ47"")"),5126.55)</f>
        <v>5126.55</v>
      </c>
      <c r="J593" s="193">
        <f t="shared" ref="J593:J594" si="255">J595+J603+J609</f>
        <v>2387</v>
      </c>
      <c r="K593" s="411">
        <f t="shared" ca="1" si="254"/>
        <v>46.561527733075849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IFERROR(__xludf.DUMMYFUNCTION("IMPORTRANGE(""https://docs.google.com/spreadsheets/d/1QqKyyYR6Q21VydFLVH3TRQUabQu_ym0Zz7PgGX0-kHA/edit?usp=sharing"",""แผน!HI47"")"),350)</f>
        <v>350</v>
      </c>
      <c r="J594" s="193">
        <f t="shared" si="255"/>
        <v>160</v>
      </c>
      <c r="K594" s="411">
        <f t="shared" ca="1" si="254"/>
        <v>45.714285714285715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1978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130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936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76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1042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54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>J605+J607</f>
        <v>323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>J605+J608</f>
        <v>21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319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17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86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9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7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8">J614+J616</f>
        <v>0</v>
      </c>
      <c r="K612" s="715">
        <f t="shared" si="257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8"/>
        <v>0</v>
      </c>
      <c r="K613" s="715">
        <f t="shared" si="257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IFERROR(__xludf.DUMMYFUNCTION("IMPORTRANGE(""https://docs.google.com/spreadsheets/d/1QqKyyYR6Q21VydFLVH3TRQUabQu_ym0Zz7PgGX0-kHA/edit?usp=sharing"",""แผน!HL47"")"),1)</f>
        <v>1</v>
      </c>
      <c r="J620" s="726">
        <f t="shared" ref="J620:J621" si="259">J622+J624+J626</f>
        <v>0</v>
      </c>
      <c r="K620" s="727">
        <f t="shared" ref="K620:K621" ca="1" si="260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IFERROR(__xludf.DUMMYFUNCTION("IMPORTRANGE(""https://docs.google.com/spreadsheets/d/1QqKyyYR6Q21VydFLVH3TRQUabQu_ym0Zz7PgGX0-kHA/edit?usp=sharing"",""แผน!HK47"")"),1)</f>
        <v>1</v>
      </c>
      <c r="J621" s="726">
        <f t="shared" si="259"/>
        <v>0</v>
      </c>
      <c r="K621" s="727">
        <f t="shared" ca="1" si="260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1">I651</f>
        <v>230</v>
      </c>
      <c r="J628" s="739">
        <f t="shared" ca="1" si="261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2">L630+L631</f>
        <v>423310</v>
      </c>
      <c r="M629" s="195">
        <f t="shared" ca="1" si="262"/>
        <v>423310</v>
      </c>
      <c r="N629" s="195">
        <f t="shared" si="262"/>
        <v>188967.38</v>
      </c>
      <c r="O629" s="195">
        <f t="shared" ref="O629:O634" ca="1" si="263">IF(L629&gt;0,N629*100/L629,0)</f>
        <v>44.640424275353759</v>
      </c>
      <c r="P629" s="195">
        <f t="shared" ref="P629:P634" ca="1" si="264">IF(M629&gt;0,N629*100/M629,0)</f>
        <v>44.640424275353759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5"/>
        <v>423310</v>
      </c>
      <c r="M631" s="93">
        <f t="shared" ca="1" si="265"/>
        <v>423310</v>
      </c>
      <c r="N631" s="93">
        <f t="shared" si="265"/>
        <v>188967.38</v>
      </c>
      <c r="O631" s="93">
        <f t="shared" ca="1" si="263"/>
        <v>44.640424275353759</v>
      </c>
      <c r="P631" s="93">
        <f t="shared" ca="1" si="264"/>
        <v>44.640424275353759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423310</v>
      </c>
      <c r="M632" s="497">
        <f t="shared" ca="1" si="266"/>
        <v>423310</v>
      </c>
      <c r="N632" s="497">
        <f t="shared" si="266"/>
        <v>188967.38</v>
      </c>
      <c r="O632" s="497">
        <f t="shared" ca="1" si="263"/>
        <v>44.640424275353759</v>
      </c>
      <c r="P632" s="497">
        <f t="shared" ca="1" si="264"/>
        <v>44.640424275353759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IFERROR(__xludf.DUMMYFUNCTION("IMPORTRANGE(""https://docs.google.com/spreadsheets/d/1QqKyyYR6Q21VydFLVH3TRQUabQu_ym0Zz7PgGX0-kHA/edit?usp=sharing"",""แผน!HN47"")"),423310)</f>
        <v>423310</v>
      </c>
      <c r="M634" s="93">
        <f ca="1">L634</f>
        <v>423310</v>
      </c>
      <c r="N634" s="93">
        <f>N635+N636+N637+N638</f>
        <v>188967.38</v>
      </c>
      <c r="O634" s="93">
        <f t="shared" ca="1" si="263"/>
        <v>44.640424275353759</v>
      </c>
      <c r="P634" s="93">
        <f t="shared" ca="1" si="264"/>
        <v>44.640424275353759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77124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111843.38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IFERROR(__xludf.DUMMYFUNCTION("IMPORTRANGE(""https://docs.google.com/spreadsheets/d/1QqKyyYR6Q21VydFLVH3TRQUabQu_ym0Zz7PgGX0-kHA/edit?usp=sharing"",""แผน!HR47"")"),0)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IFERROR(__xludf.DUMMYFUNCTION("IMPORTRANGE(""https://docs.google.com/spreadsheets/d/1QqKyyYR6Q21VydFLVH3TRQUabQu_ym0Zz7PgGX0-kHA/edit?usp=sharing"",""แผน!HR47"")"),0)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IFERROR(__xludf.DUMMYFUNCTION("IMPORTRANGE(""https://docs.google.com/spreadsheets/d/1XWAQStnk-4SwqDmLtmXYiTMKHgktTP8We1SCoS47DrQ/edit?usp=sharing"",""จัดที่ดิน!AS47"")"),119)</f>
        <v>119</v>
      </c>
      <c r="K645" s="163">
        <f t="shared" si="270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IFERROR(__xludf.DUMMYFUNCTION("IMPORTRANGE(""https://docs.google.com/spreadsheets/d/1XWAQStnk-4SwqDmLtmXYiTMKHgktTP8We1SCoS47DrQ/edit?usp=sharing"",""จัดที่ดิน!AT47"")"),49.52)</f>
        <v>49.52</v>
      </c>
      <c r="K646" s="497">
        <f t="shared" si="270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IFERROR(__xludf.DUMMYFUNCTION("IMPORTRANGE(""https://docs.google.com/spreadsheets/d/1QqKyyYR6Q21VydFLVH3TRQUabQu_ym0Zz7PgGX0-kHA/edit?usp=sharing"",""แผน!HS47"")"),230)</f>
        <v>230</v>
      </c>
      <c r="J647" s="270">
        <f ca="1">IFERROR(__xludf.DUMMYFUNCTION("IMPORTRANGE(""https://docs.google.com/spreadsheets/d/1XWAQStnk-4SwqDmLtmXYiTMKHgktTP8We1SCoS47DrQ/edit?usp=sharing"",""จัดที่ดิน!AU47"")"),118)</f>
        <v>118</v>
      </c>
      <c r="K647" s="163">
        <f t="shared" ca="1" si="270"/>
        <v>51.304347826086953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IFERROR(__xludf.DUMMYFUNCTION("IMPORTRANGE(""https://docs.google.com/spreadsheets/d/1XWAQStnk-4SwqDmLtmXYiTMKHgktTP8We1SCoS47DrQ/edit?usp=sharing"",""จัดที่ดิน!AV47"")"),49.49)</f>
        <v>49.49</v>
      </c>
      <c r="K648" s="497">
        <f t="shared" si="270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IFERROR(__xludf.DUMMYFUNCTION("IMPORTRANGE(""https://docs.google.com/spreadsheets/d/1QqKyyYR6Q21VydFLVH3TRQUabQu_ym0Zz7PgGX0-kHA/edit?usp=sharing"",""แผน!HS47"")"),230)</f>
        <v>230</v>
      </c>
      <c r="J649" s="270">
        <f ca="1">IFERROR(__xludf.DUMMYFUNCTION("IMPORTRANGE(""https://docs.google.com/spreadsheets/d/1XWAQStnk-4SwqDmLtmXYiTMKHgktTP8We1SCoS47DrQ/edit?usp=sharing"",""จัดที่ดิน!AW47"")"),60)</f>
        <v>60</v>
      </c>
      <c r="K649" s="163">
        <f t="shared" ca="1" si="270"/>
        <v>26.086956521739129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IFERROR(__xludf.DUMMYFUNCTION("IMPORTRANGE(""https://docs.google.com/spreadsheets/d/1XWAQStnk-4SwqDmLtmXYiTMKHgktTP8We1SCoS47DrQ/edit?usp=sharing"",""จัดที่ดิน!AX47"")"),25.73)</f>
        <v>25.73</v>
      </c>
      <c r="K650" s="497">
        <f t="shared" si="270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IFERROR(__xludf.DUMMYFUNCTION("IMPORTRANGE(""https://docs.google.com/spreadsheets/d/1QqKyyYR6Q21VydFLVH3TRQUabQu_ym0Zz7PgGX0-kHA/edit?usp=sharing"",""แผน!HS47"")"),230)</f>
        <v>230</v>
      </c>
      <c r="J651" s="270">
        <f ca="1">IFERROR(__xludf.DUMMYFUNCTION("IMPORTRANGE(""https://docs.google.com/spreadsheets/d/1XWAQStnk-4SwqDmLtmXYiTMKHgktTP8We1SCoS47DrQ/edit?usp=sharing"",""จัดที่ดิน!AY47"")"),0)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IFERROR(__xludf.DUMMYFUNCTION("IMPORTRANGE(""https://docs.google.com/spreadsheets/d/1XWAQStnk-4SwqDmLtmXYiTMKHgktTP8We1SCoS47DrQ/edit?usp=sharing"",""จัดที่ดิน!AZ47"")"),0)</f>
        <v>0</v>
      </c>
      <c r="K652" s="505">
        <f t="shared" si="270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1">I669</f>
        <v>100</v>
      </c>
      <c r="J654" s="706">
        <f t="shared" si="271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6340</v>
      </c>
      <c r="O655" s="195">
        <f t="shared" ref="O655:O660" ca="1" si="273">IF(L655&gt;0,N655*100/L655,0)</f>
        <v>51.12903225806452</v>
      </c>
      <c r="P655" s="195">
        <f t="shared" ref="P655:P660" ca="1" si="274">IF(M655&gt;0,N655*100/M655,0)</f>
        <v>51.12903225806452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6340</v>
      </c>
      <c r="O657" s="93">
        <f t="shared" ca="1" si="273"/>
        <v>51.12903225806452</v>
      </c>
      <c r="P657" s="93">
        <f t="shared" ca="1" si="274"/>
        <v>51.12903225806452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6340</v>
      </c>
      <c r="O658" s="497">
        <f t="shared" ca="1" si="273"/>
        <v>51.12903225806452</v>
      </c>
      <c r="P658" s="497">
        <f t="shared" ca="1" si="274"/>
        <v>51.12903225806452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IFERROR(__xludf.DUMMYFUNCTION("IMPORTRANGE(""https://docs.google.com/spreadsheets/d/1QqKyyYR6Q21VydFLVH3TRQUabQu_ym0Zz7PgGX0-kHA/edit?usp=sharing"",""แผน!HV47"")"),12400)</f>
        <v>12400</v>
      </c>
      <c r="M660" s="93">
        <f ca="1">L660</f>
        <v>12400</v>
      </c>
      <c r="N660" s="93">
        <f>N661+N662+N663+N664</f>
        <v>6340</v>
      </c>
      <c r="O660" s="93">
        <f t="shared" ca="1" si="273"/>
        <v>51.12903225806452</v>
      </c>
      <c r="P660" s="93">
        <f t="shared" ca="1" si="274"/>
        <v>51.12903225806452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IFERROR(__xludf.DUMMYFUNCTION("IMPORTRANGE(""https://docs.google.com/spreadsheets/d/1QqKyyYR6Q21VydFLVH3TRQUabQu_ym0Zz7PgGX0-kHA/edit?usp=sharing"",""แผน!IA47"")"),100)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IFERROR(__xludf.DUMMYFUNCTION("IMPORTRANGE(""https://docs.google.com/spreadsheets/d/1QqKyyYR6Q21VydFLVH3TRQUabQu_ym0Zz7PgGX0-kHA/edit?usp=sharing"",""แผน!HZ47"")"),4)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IFERROR(__xludf.DUMMYFUNCTION("IMPORTRANGE(""https://docs.google.com/spreadsheets/d/1QqKyyYR6Q21VydFLVH3TRQUabQu_ym0Zz7PgGX0-kHA/edit?usp=sharing"",""แผน!HZ47"")"),4)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1">L686+L687</f>
        <v>6190</v>
      </c>
      <c r="M685" s="195">
        <f t="shared" ca="1" si="281"/>
        <v>6190</v>
      </c>
      <c r="N685" s="195">
        <f t="shared" si="281"/>
        <v>3800</v>
      </c>
      <c r="O685" s="195">
        <f t="shared" ref="O685:O688" ca="1" si="282">IF(L685&gt;0,N685*100/L685,0)</f>
        <v>61.389337641357031</v>
      </c>
      <c r="P685" s="195">
        <f t="shared" ref="P685:P688" ca="1" si="283">IF(M685&gt;0,N685*100/M685,0)</f>
        <v>61.389337641357031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4"/>
        <v>6190</v>
      </c>
      <c r="M687" s="93">
        <f t="shared" ca="1" si="284"/>
        <v>6190</v>
      </c>
      <c r="N687" s="93">
        <f t="shared" si="284"/>
        <v>3800</v>
      </c>
      <c r="O687" s="93">
        <f t="shared" ca="1" si="282"/>
        <v>61.389337641357031</v>
      </c>
      <c r="P687" s="93">
        <f t="shared" ca="1" si="283"/>
        <v>61.389337641357031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6190</v>
      </c>
      <c r="M688" s="497">
        <f t="shared" ca="1" si="285"/>
        <v>6190</v>
      </c>
      <c r="N688" s="497">
        <f t="shared" si="285"/>
        <v>3800</v>
      </c>
      <c r="O688" s="497">
        <f t="shared" ca="1" si="282"/>
        <v>61.389337641357031</v>
      </c>
      <c r="P688" s="497">
        <f t="shared" ca="1" si="283"/>
        <v>61.389337641357031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IFERROR(__xludf.DUMMYFUNCTION("IMPORTRANGE(""https://docs.google.com/spreadsheets/d/1QqKyyYR6Q21VydFLVH3TRQUabQu_ym0Zz7PgGX0-kHA/edit?usp=sharing"",""แผน!HW47"")"),6190)</f>
        <v>6190</v>
      </c>
      <c r="M690" s="93">
        <f ca="1">L690</f>
        <v>6190</v>
      </c>
      <c r="N690" s="93">
        <f>N691+N692+N693+N694</f>
        <v>3800</v>
      </c>
      <c r="O690" s="93">
        <f ca="1">IF(L690&gt;0,N690*100/L690,0)</f>
        <v>61.389337641357031</v>
      </c>
      <c r="P690" s="93">
        <f ca="1">IF(M690&gt;0,N690*100/M690,0)</f>
        <v>61.389337641357031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3800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IFERROR(__xludf.DUMMYFUNCTION("IMPORTRANGE(""https://docs.google.com/spreadsheets/d/1QqKyyYR6Q21VydFLVH3TRQUabQu_ym0Zz7PgGX0-kHA/edit?usp=sharing"",""แผน!IC47"")"),0)</f>
        <v>0</v>
      </c>
      <c r="J699" s="270">
        <f ca="1">IFERROR(__xludf.DUMMYFUNCTION("IMPORTRANGE(""https://docs.google.com/spreadsheets/d/1XWAQStnk-4SwqDmLtmXYiTMKHgktTP8We1SCoS47DrQ/edit?usp=sharing"",""จัดที่ดิน!BB47"")"),0)</f>
        <v>0</v>
      </c>
      <c r="K699" s="497">
        <f t="shared" ref="K699:K701" ca="1" si="289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IFERROR(__xludf.DUMMYFUNCTION("IMPORTRANGE(""https://docs.google.com/spreadsheets/d/1QqKyyYR6Q21VydFLVH3TRQUabQu_ym0Zz7PgGX0-kHA/edit?usp=sharing"",""แผน!ID47"")"),0)</f>
        <v>0</v>
      </c>
      <c r="J700" s="270">
        <f ca="1">IFERROR(__xludf.DUMMYFUNCTION("IMPORTRANGE(""https://docs.google.com/spreadsheets/d/1XWAQStnk-4SwqDmLtmXYiTMKHgktTP8We1SCoS47DrQ/edit?usp=sharing"",""จัดที่ดิน!BD47"")"),0)</f>
        <v>0</v>
      </c>
      <c r="K700" s="497">
        <f t="shared" ca="1" si="289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IFERROR(__xludf.DUMMYFUNCTION("IMPORTRANGE(""https://docs.google.com/spreadsheets/d/1QqKyyYR6Q21VydFLVH3TRQUabQu_ym0Zz7PgGX0-kHA/edit?usp=sharing"",""แผน!IE47"")"),20)</f>
        <v>20</v>
      </c>
      <c r="J701" s="679">
        <f>J704+J707</f>
        <v>48.95</v>
      </c>
      <c r="K701" s="195">
        <f t="shared" ca="1" si="289"/>
        <v>244.75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2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3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IFERROR(__xludf.DUMMYFUNCTION("IMPORTRANGE(""https://docs.google.com/spreadsheets/d/1QqKyyYR6Q21VydFLVH3TRQUabQu_ym0Zz7PgGX0-kHA/edit?usp=sharing"",""แผน!IF47"")"),20)</f>
        <v>20</v>
      </c>
      <c r="J704" s="215">
        <v>48.95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IFERROR(__xludf.DUMMYFUNCTION("IMPORTRANGE(""https://docs.google.com/spreadsheets/d/1QqKyyYR6Q21VydFLVH3TRQUabQu_ym0Zz7PgGX0-kHA/edit?usp=sharing"",""แผน!IG47"")"),0)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IFERROR(__xludf.DUMMYFUNCTION("IMPORTRANGE(""https://docs.google.com/spreadsheets/d/1XWAQStnk-4SwqDmLtmXYiTMKHgktTP8We1SCoS47DrQ/edit?usp=sharing"",""จัดที่ดิน!BF47"")"),0)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IFERROR(__xludf.DUMMYFUNCTION("IMPORTRANGE(""https://docs.google.com/spreadsheets/d/1XWAQStnk-4SwqDmLtmXYiTMKHgktTP8We1SCoS47DrQ/edit?usp=sharing"",""จัดที่ดิน!BG47"")"),0)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IFERROR(__xludf.DUMMYFUNCTION("IMPORTRANGE(""https://docs.google.com/spreadsheets/d/1QqKyyYR6Q21VydFLVH3TRQUabQu_ym0Zz7PgGX0-kHA/edit?usp=sharing"",""แผน!II47"")"),77)</f>
        <v>77</v>
      </c>
      <c r="J720" s="270">
        <f ca="1">IFERROR(__xludf.DUMMYFUNCTION("IMPORTRANGE(""https://docs.google.com/spreadsheets/d/1XWAQStnk-4SwqDmLtmXYiTMKHgktTP8We1SCoS47DrQ/edit?usp=sharing"",""จัดที่ดิน!BH47"")"),0)</f>
        <v>0</v>
      </c>
      <c r="K720" s="497">
        <f t="shared" ref="K720:K723" ca="1" si="290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IFERROR(__xludf.DUMMYFUNCTION("IMPORTRANGE(""https://docs.google.com/spreadsheets/d/1QqKyyYR6Q21VydFLVH3TRQUabQu_ym0Zz7PgGX0-kHA/edit?usp=sharing"",""แผน!IJ47"")"),4)</f>
        <v>4</v>
      </c>
      <c r="J721" s="679">
        <f ca="1">J723+J726</f>
        <v>0</v>
      </c>
      <c r="K721" s="195">
        <f t="shared" ca="1" si="290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IFERROR(__xludf.DUMMYFUNCTION("IMPORTRANGE(""https://docs.google.com/spreadsheets/d/1QqKyyYR6Q21VydFLVH3TRQUabQu_ym0Zz7PgGX0-kHA/edit?usp=sharing"",""แผน!IK47"")"),40)</f>
        <v>40</v>
      </c>
      <c r="J722" s="679">
        <f ca="1">J725+J728</f>
        <v>0</v>
      </c>
      <c r="K722" s="195">
        <f t="shared" ca="1" si="290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IFERROR(__xludf.DUMMYFUNCTION("IMPORTRANGE(""https://docs.google.com/spreadsheets/d/1QqKyyYR6Q21VydFLVH3TRQUabQu_ym0Zz7PgGX0-kHA/edit?usp=sharing"",""แผน!IL47"")"),2)</f>
        <v>2</v>
      </c>
      <c r="J723" s="270">
        <f ca="1">IFERROR(__xludf.DUMMYFUNCTION("IMPORTRANGE(""https://docs.google.com/spreadsheets/d/1XWAQStnk-4SwqDmLtmXYiTMKHgktTP8We1SCoS47DrQ/edit?usp=sharing"",""จัดที่ดิน!BM47"")"),0)</f>
        <v>0</v>
      </c>
      <c r="K723" s="497">
        <f t="shared" ca="1" si="290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IFERROR(__xludf.DUMMYFUNCTION("IMPORTRANGE(""https://docs.google.com/spreadsheets/d/1QqKyyYR6Q21VydFLVH3TRQUabQu_ym0Zz7PgGX0-kHA/edit?usp=sharing"",""แผน!IM47"")"),20)</f>
        <v>20</v>
      </c>
      <c r="J725" s="270">
        <f ca="1">IFERROR(__xludf.DUMMYFUNCTION("IMPORTRANGE(""https://docs.google.com/spreadsheets/d/1XWAQStnk-4SwqDmLtmXYiTMKHgktTP8We1SCoS47DrQ/edit?usp=sharing"",""จัดที่ดิน!BO47"")"),0)</f>
        <v>0</v>
      </c>
      <c r="K725" s="497">
        <f t="shared" ref="K725:K726" ca="1" si="291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IFERROR(__xludf.DUMMYFUNCTION("IMPORTRANGE(""https://docs.google.com/spreadsheets/d/1QqKyyYR6Q21VydFLVH3TRQUabQu_ym0Zz7PgGX0-kHA/edit?usp=sharing"",""แผน!IN47"")"),2)</f>
        <v>2</v>
      </c>
      <c r="J726" s="270">
        <f ca="1">IFERROR(__xludf.DUMMYFUNCTION("IMPORTRANGE(""https://docs.google.com/spreadsheets/d/1XWAQStnk-4SwqDmLtmXYiTMKHgktTP8We1SCoS47DrQ/edit?usp=sharing"",""จัดที่ดิน!BR47"")"),0)</f>
        <v>0</v>
      </c>
      <c r="K726" s="497">
        <f t="shared" ca="1" si="291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IFERROR(__xludf.DUMMYFUNCTION("IMPORTRANGE(""https://docs.google.com/spreadsheets/d/1QqKyyYR6Q21VydFLVH3TRQUabQu_ym0Zz7PgGX0-kHA/edit?usp=sharing"",""แผน!IO47"")"),20)</f>
        <v>20</v>
      </c>
      <c r="J728" s="270">
        <f ca="1">IFERROR(__xludf.DUMMYFUNCTION("IMPORTRANGE(""https://docs.google.com/spreadsheets/d/1XWAQStnk-4SwqDmLtmXYiTMKHgktTP8We1SCoS47DrQ/edit?usp=sharing"",""จัดที่ดิน!BT47"")"),0)</f>
        <v>0</v>
      </c>
      <c r="K728" s="497">
        <f t="shared" ref="K728:K729" ca="1" si="292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IFERROR(__xludf.DUMMYFUNCTION("IMPORTRANGE(""https://docs.google.com/spreadsheets/d/1QqKyyYR6Q21VydFLVH3TRQUabQu_ym0Zz7PgGX0-kHA/edit?usp=sharing"",""แผน!IP47"")"),0)</f>
        <v>0</v>
      </c>
      <c r="J729" s="679">
        <f>J732+J735</f>
        <v>0</v>
      </c>
      <c r="K729" s="195">
        <f t="shared" ca="1" si="292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3">L738+L739</f>
        <v>0</v>
      </c>
      <c r="M737" s="645">
        <f t="shared" si="293"/>
        <v>0</v>
      </c>
      <c r="N737" s="645">
        <f t="shared" si="293"/>
        <v>0</v>
      </c>
      <c r="O737" s="645">
        <f t="shared" ref="O737:O742" si="294">IF(L737&gt;0,N737*100/L737,0)</f>
        <v>0</v>
      </c>
      <c r="P737" s="645">
        <f t="shared" ref="P737:P742" si="29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7">L741+L742</f>
        <v>0</v>
      </c>
      <c r="M740" s="645">
        <f t="shared" si="297"/>
        <v>0</v>
      </c>
      <c r="N740" s="645">
        <f t="shared" si="297"/>
        <v>0</v>
      </c>
      <c r="O740" s="645">
        <f t="shared" si="294"/>
        <v>0</v>
      </c>
      <c r="P740" s="645">
        <f t="shared" si="29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8">L748+L749</f>
        <v>0</v>
      </c>
      <c r="M747" s="645">
        <f t="shared" si="298"/>
        <v>0</v>
      </c>
      <c r="N747" s="645">
        <f t="shared" si="298"/>
        <v>0</v>
      </c>
      <c r="O747" s="645">
        <f t="shared" ref="O747:O749" si="299">IF(L747&gt;0,N747*100/L747,0)</f>
        <v>0</v>
      </c>
      <c r="P747" s="645">
        <f t="shared" ref="P747:P749" si="300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1">L755+L756</f>
        <v>0</v>
      </c>
      <c r="M754" s="645">
        <f t="shared" si="301"/>
        <v>0</v>
      </c>
      <c r="N754" s="645">
        <f t="shared" si="301"/>
        <v>0</v>
      </c>
      <c r="O754" s="645">
        <f t="shared" ref="O754:O759" si="302">IF(L754&gt;0,N754*100/L754,0)</f>
        <v>0</v>
      </c>
      <c r="P754" s="645">
        <f t="shared" ref="P754:P759" si="303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5">L758+L759</f>
        <v>0</v>
      </c>
      <c r="M757" s="645">
        <f t="shared" si="305"/>
        <v>0</v>
      </c>
      <c r="N757" s="645">
        <f t="shared" si="305"/>
        <v>0</v>
      </c>
      <c r="O757" s="645">
        <f t="shared" si="302"/>
        <v>0</v>
      </c>
      <c r="P757" s="645">
        <f t="shared" si="303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6">L765+L766</f>
        <v>0</v>
      </c>
      <c r="M764" s="645">
        <f t="shared" si="306"/>
        <v>0</v>
      </c>
      <c r="N764" s="645">
        <f t="shared" si="306"/>
        <v>0</v>
      </c>
      <c r="O764" s="645">
        <f t="shared" ref="O764:O766" si="307">IF(L764&gt;0,N764*100/L764,0)</f>
        <v>0</v>
      </c>
      <c r="P764" s="645">
        <f t="shared" ref="P764:P766" si="308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09">L771+L772</f>
        <v>0</v>
      </c>
      <c r="M770" s="645">
        <f t="shared" si="309"/>
        <v>0</v>
      </c>
      <c r="N770" s="645">
        <f t="shared" si="309"/>
        <v>0</v>
      </c>
      <c r="O770" s="645">
        <f t="shared" ref="O770:O775" si="310">IF(L770&gt;0,N770*100/L770,0)</f>
        <v>0</v>
      </c>
      <c r="P770" s="645">
        <f t="shared" ref="P770:P775" si="311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3">L774+L775</f>
        <v>0</v>
      </c>
      <c r="M773" s="645">
        <f t="shared" si="313"/>
        <v>0</v>
      </c>
      <c r="N773" s="645">
        <f t="shared" si="313"/>
        <v>0</v>
      </c>
      <c r="O773" s="645">
        <f t="shared" si="310"/>
        <v>0</v>
      </c>
      <c r="P773" s="645">
        <f t="shared" si="311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4">L781+L782</f>
        <v>0</v>
      </c>
      <c r="M780" s="645">
        <f t="shared" si="314"/>
        <v>0</v>
      </c>
      <c r="N780" s="645">
        <f t="shared" si="314"/>
        <v>0</v>
      </c>
      <c r="O780" s="645">
        <f t="shared" ref="O780:O782" si="315">IF(L780&gt;0,N780*100/L780,0)</f>
        <v>0</v>
      </c>
      <c r="P780" s="645">
        <f t="shared" ref="P780:P782" si="316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7">I800</f>
        <v>0</v>
      </c>
      <c r="J785" s="898">
        <f t="shared" ca="1" si="317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IFERROR(__xludf.DUMMYFUNCTION("IMPORTRANGE(""https://docs.google.com/spreadsheets/d/1QqKyyYR6Q21VydFLVH3TRQUabQu_ym0Zz7PgGX0-kHA/edit?usp=sharing"",""แผน!JN47"")"),0)</f>
        <v>0</v>
      </c>
      <c r="J800" s="184">
        <f ca="1">IFERROR(__xludf.DUMMYFUNCTION("IMPORTRANGE(""https://docs.google.com/spreadsheets/d/1MaWodYyGHDf7siQLGxnXhG4mBNTNIuy296niS2xXulU/edit?usp=sharing"",""RTK!H47"")"),0)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IFERROR(__xludf.DUMMYFUNCTION("IMPORTRANGE(""https://docs.google.com/spreadsheets/d/1MaWodYyGHDf7siQLGxnXhG4mBNTNIuy296niS2xXulU/edit?usp=sharing"",""RTK!I47"")"),0)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6">L806+L807</f>
        <v>0</v>
      </c>
      <c r="M805" s="645">
        <f t="shared" si="326"/>
        <v>0</v>
      </c>
      <c r="N805" s="645">
        <f t="shared" si="326"/>
        <v>0</v>
      </c>
      <c r="O805" s="645">
        <f t="shared" ref="O805:O810" si="327">IF(L805&gt;0,N805*100/L805,0)</f>
        <v>0</v>
      </c>
      <c r="P805" s="645">
        <f t="shared" ref="P805:P810" si="328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0">L809+L810</f>
        <v>0</v>
      </c>
      <c r="M808" s="645">
        <f t="shared" si="330"/>
        <v>0</v>
      </c>
      <c r="N808" s="645">
        <f t="shared" si="330"/>
        <v>0</v>
      </c>
      <c r="O808" s="645">
        <f t="shared" si="327"/>
        <v>0</v>
      </c>
      <c r="P808" s="645">
        <f t="shared" si="328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1">L816+L817</f>
        <v>0</v>
      </c>
      <c r="M815" s="645">
        <f t="shared" si="331"/>
        <v>0</v>
      </c>
      <c r="N815" s="645">
        <f t="shared" si="331"/>
        <v>0</v>
      </c>
      <c r="O815" s="645">
        <f t="shared" ref="O815:O817" si="332">IF(L815&gt;0,N815*100/L815,0)</f>
        <v>0</v>
      </c>
      <c r="P815" s="645">
        <f t="shared" ref="P815:P817" si="333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270">
        <f ca="1">IFERROR(__xludf.DUMMYFUNCTION("IMPORTRANGE(""https://docs.google.com/spreadsheets/d/19vJNZY_5yjcGF2XGBMNZRCAIB0Kwfpjp8YEOfu-bneM/edit?usp=sharing"",""งานกองทุน!F47"")"),2307699.79)</f>
        <v>2307699.79</v>
      </c>
      <c r="K821" s="497">
        <f t="shared" ref="K821:K828" ca="1" si="334">IF(I821&gt;0,J821*100/I821,0)</f>
        <v>61.967486150875132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IFERROR(__xludf.DUMMYFUNCTION("IMPORTRANGE(""https://docs.google.com/spreadsheets/d/19vJNZY_5yjcGF2XGBMNZRCAIB0Kwfpjp8YEOfu-bneM/edit?usp=sharing"",""งานกองทุน!C47"")"),342)</f>
        <v>342</v>
      </c>
      <c r="J822" s="270">
        <f ca="1">IFERROR(__xludf.DUMMYFUNCTION("IMPORTRANGE(""https://docs.google.com/spreadsheets/d/19vJNZY_5yjcGF2XGBMNZRCAIB0Kwfpjp8YEOfu-bneM/edit?usp=sharing"",""งานกองทุน!E47"")"),234)</f>
        <v>234</v>
      </c>
      <c r="K822" s="497">
        <f t="shared" ca="1" si="334"/>
        <v>68.421052631578945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270">
        <f ca="1">IFERROR(__xludf.DUMMYFUNCTION("IMPORTRANGE(""https://docs.google.com/spreadsheets/d/19vJNZY_5yjcGF2XGBMNZRCAIB0Kwfpjp8YEOfu-bneM/edit?usp=sharing"",""งานกองทุน!K47"")"),335388.39)</f>
        <v>335388.39</v>
      </c>
      <c r="K823" s="497">
        <f t="shared" ca="1" si="334"/>
        <v>60.950247247766647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IFERROR(__xludf.DUMMYFUNCTION("IMPORTRANGE(""https://docs.google.com/spreadsheets/d/19vJNZY_5yjcGF2XGBMNZRCAIB0Kwfpjp8YEOfu-bneM/edit?usp=sharing"",""งานกองทุน!H47"")"),38)</f>
        <v>38</v>
      </c>
      <c r="J824" s="270">
        <f ca="1">IFERROR(__xludf.DUMMYFUNCTION("IMPORTRANGE(""https://docs.google.com/spreadsheets/d/19vJNZY_5yjcGF2XGBMNZRCAIB0Kwfpjp8YEOfu-bneM/edit?usp=sharing"",""งานกองทุน!J47"")"),31)</f>
        <v>31</v>
      </c>
      <c r="K824" s="497">
        <f t="shared" ca="1" si="334"/>
        <v>81.578947368421055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270">
        <f ca="1">IFERROR(__xludf.DUMMYFUNCTION("IMPORTRANGE(""https://docs.google.com/spreadsheets/d/19vJNZY_5yjcGF2XGBMNZRCAIB0Kwfpjp8YEOfu-bneM/edit?usp=sharing"",""งานกองทุน!P47"")"),471848.56)</f>
        <v>471848.56</v>
      </c>
      <c r="K825" s="497">
        <f t="shared" ca="1" si="334"/>
        <v>73.962205283969496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IFERROR(__xludf.DUMMYFUNCTION("IMPORTRANGE(""https://docs.google.com/spreadsheets/d/19vJNZY_5yjcGF2XGBMNZRCAIB0Kwfpjp8YEOfu-bneM/edit?usp=sharing"",""งานกองทุน!M47"")"),74)</f>
        <v>74</v>
      </c>
      <c r="J826" s="270">
        <f ca="1">IFERROR(__xludf.DUMMYFUNCTION("IMPORTRANGE(""https://docs.google.com/spreadsheets/d/19vJNZY_5yjcGF2XGBMNZRCAIB0Kwfpjp8YEOfu-bneM/edit?usp=sharing"",""งานกองทุน!O47"")"),89)</f>
        <v>89</v>
      </c>
      <c r="K826" s="497">
        <f t="shared" ca="1" si="334"/>
        <v>120.27027027027027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IFERROR(__xludf.DUMMYFUNCTION("IMPORTRANGE(""https://docs.google.com/spreadsheets/d/19vJNZY_5yjcGF2XGBMNZRCAIB0Kwfpjp8YEOfu-bneM/edit?usp=sharing"",""งานกองทุน!S47"")"),4200000)</f>
        <v>4200000</v>
      </c>
      <c r="J827" s="270">
        <f ca="1">IFERROR(__xludf.DUMMYFUNCTION("IMPORTRANGE(""https://docs.google.com/spreadsheets/d/19vJNZY_5yjcGF2XGBMNZRCAIB0Kwfpjp8YEOfu-bneM/edit?usp=sharing"",""งานกองทุน!U47"")"),480000)</f>
        <v>480000</v>
      </c>
      <c r="K827" s="497">
        <f t="shared" ca="1" si="334"/>
        <v>11.428571428571429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IFERROR(__xludf.DUMMYFUNCTION("IMPORTRANGE(""https://docs.google.com/spreadsheets/d/19vJNZY_5yjcGF2XGBMNZRCAIB0Kwfpjp8YEOfu-bneM/edit?usp=sharing"",""งานกองทุน!R47"")"),115)</f>
        <v>115</v>
      </c>
      <c r="J828" s="504">
        <f ca="1">IFERROR(__xludf.DUMMYFUNCTION("IMPORTRANGE(""https://docs.google.com/spreadsheets/d/19vJNZY_5yjcGF2XGBMNZRCAIB0Kwfpjp8YEOfu-bneM/edit?usp=sharing"",""งานกองทุน!T47"")"),12)</f>
        <v>12</v>
      </c>
      <c r="K828" s="505">
        <f t="shared" ca="1" si="334"/>
        <v>10.434782608695652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60E0C-2313-4906-B962-3F48EA247A1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354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8450788</v>
      </c>
      <c r="M8" s="22">
        <f t="shared" ca="1" si="0"/>
        <v>7830380</v>
      </c>
      <c r="N8" s="22">
        <f t="shared" ca="1" si="0"/>
        <v>5187160.6100000003</v>
      </c>
      <c r="O8" s="22">
        <f t="shared" ref="O8:O16" ca="1" si="1">IF(L8&gt;0,N8*100/L8,0)</f>
        <v>61.380792063414688</v>
      </c>
      <c r="P8" s="22">
        <f t="shared" ref="P8:P16" ca="1" si="2">IF(M8&gt;0,N8*100/M8,0)</f>
        <v>66.244047032200228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8450788</v>
      </c>
      <c r="M10" s="30">
        <f t="shared" ca="1" si="3"/>
        <v>7830380</v>
      </c>
      <c r="N10" s="30">
        <f t="shared" ca="1" si="3"/>
        <v>5187160.6100000003</v>
      </c>
      <c r="O10" s="30">
        <f t="shared" ca="1" si="1"/>
        <v>61.380792063414688</v>
      </c>
      <c r="P10" s="30">
        <f t="shared" ca="1" si="2"/>
        <v>66.244047032200228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6530288</v>
      </c>
      <c r="M11" s="497">
        <f t="shared" ca="1" si="4"/>
        <v>5910395</v>
      </c>
      <c r="N11" s="497">
        <f t="shared" ca="1" si="4"/>
        <v>3444175.6100000003</v>
      </c>
      <c r="O11" s="497">
        <f t="shared" ca="1" si="1"/>
        <v>52.741557646462155</v>
      </c>
      <c r="P11" s="497">
        <f t="shared" ca="1" si="2"/>
        <v>58.273188340204008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6530288</v>
      </c>
      <c r="M13" s="93">
        <f t="shared" ca="1" si="5"/>
        <v>5910395</v>
      </c>
      <c r="N13" s="93">
        <f t="shared" ca="1" si="5"/>
        <v>3444175.6100000003</v>
      </c>
      <c r="O13" s="93">
        <f t="shared" ca="1" si="1"/>
        <v>52.741557646462155</v>
      </c>
      <c r="P13" s="93">
        <f t="shared" ca="1" si="2"/>
        <v>58.273188340204008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1920500</v>
      </c>
      <c r="M14" s="497">
        <f t="shared" ca="1" si="6"/>
        <v>1919985</v>
      </c>
      <c r="N14" s="497">
        <f t="shared" ca="1" si="6"/>
        <v>1742985</v>
      </c>
      <c r="O14" s="497">
        <f t="shared" ca="1" si="1"/>
        <v>90.756834157771408</v>
      </c>
      <c r="P14" s="497">
        <f t="shared" ca="1" si="2"/>
        <v>90.78117797795295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1920500</v>
      </c>
      <c r="M16" s="52">
        <f t="shared" ca="1" si="7"/>
        <v>1919985</v>
      </c>
      <c r="N16" s="52">
        <f t="shared" ca="1" si="7"/>
        <v>1742985</v>
      </c>
      <c r="O16" s="52">
        <f t="shared" ca="1" si="1"/>
        <v>90.756834157771408</v>
      </c>
      <c r="P16" s="52">
        <f t="shared" ca="1" si="2"/>
        <v>90.78117797795295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5574212</v>
      </c>
      <c r="M18" s="22">
        <f t="shared" ca="1" si="8"/>
        <v>4953804</v>
      </c>
      <c r="N18" s="22">
        <f t="shared" ca="1" si="8"/>
        <v>3990880.1000000006</v>
      </c>
      <c r="O18" s="22">
        <f t="shared" ref="O18:O26" ca="1" si="9">IF(L18&gt;0,N18*100/L18,0)</f>
        <v>71.595412948054374</v>
      </c>
      <c r="P18" s="22">
        <f t="shared" ref="P18:P26" ca="1" si="10">IF(M18&gt;0,N18*100/M18,0)</f>
        <v>80.561929781638526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5574212</v>
      </c>
      <c r="M20" s="30">
        <f t="shared" ca="1" si="11"/>
        <v>4953804</v>
      </c>
      <c r="N20" s="30">
        <f t="shared" ca="1" si="11"/>
        <v>3990880.1000000006</v>
      </c>
      <c r="O20" s="30">
        <f t="shared" ca="1" si="9"/>
        <v>71.595412948054374</v>
      </c>
      <c r="P20" s="30">
        <f t="shared" ca="1" si="10"/>
        <v>80.561929781638526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3653712</v>
      </c>
      <c r="M21" s="497">
        <f t="shared" ca="1" si="12"/>
        <v>3033819</v>
      </c>
      <c r="N21" s="497">
        <f t="shared" ca="1" si="12"/>
        <v>2247895.1000000006</v>
      </c>
      <c r="O21" s="497">
        <f t="shared" ca="1" si="9"/>
        <v>61.52359846643634</v>
      </c>
      <c r="P21" s="497">
        <f t="shared" ca="1" si="10"/>
        <v>74.094568594896415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3653712</v>
      </c>
      <c r="M23" s="93">
        <f t="shared" ca="1" si="13"/>
        <v>3033819</v>
      </c>
      <c r="N23" s="93">
        <f t="shared" ca="1" si="13"/>
        <v>2247895.1000000006</v>
      </c>
      <c r="O23" s="93">
        <f t="shared" ca="1" si="9"/>
        <v>61.52359846643634</v>
      </c>
      <c r="P23" s="93">
        <f t="shared" ca="1" si="10"/>
        <v>74.094568594896415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1920500</v>
      </c>
      <c r="M24" s="497">
        <f t="shared" ca="1" si="14"/>
        <v>1919985</v>
      </c>
      <c r="N24" s="497">
        <f t="shared" ca="1" si="14"/>
        <v>1742985</v>
      </c>
      <c r="O24" s="497">
        <f t="shared" ca="1" si="9"/>
        <v>90.756834157771408</v>
      </c>
      <c r="P24" s="497">
        <f t="shared" ca="1" si="10"/>
        <v>90.78117797795295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1920500</v>
      </c>
      <c r="M26" s="52">
        <f t="shared" ca="1" si="15"/>
        <v>1919985</v>
      </c>
      <c r="N26" s="52">
        <f t="shared" ca="1" si="15"/>
        <v>1742985</v>
      </c>
      <c r="O26" s="52">
        <f t="shared" ca="1" si="9"/>
        <v>90.756834157771408</v>
      </c>
      <c r="P26" s="52">
        <f t="shared" ca="1" si="10"/>
        <v>90.78117797795295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2876576</v>
      </c>
      <c r="M28" s="22">
        <f t="shared" ca="1" si="16"/>
        <v>2876576</v>
      </c>
      <c r="N28" s="22">
        <f t="shared" si="16"/>
        <v>1196280.51</v>
      </c>
      <c r="O28" s="22">
        <f t="shared" ref="O28:O37" ca="1" si="17">IF(L28&gt;0,N28*100/L28,0)</f>
        <v>41.586959982979764</v>
      </c>
      <c r="P28" s="22">
        <f t="shared" ref="P28:P37" ca="1" si="18">IF(M28&gt;0,N28*100/M28,0)</f>
        <v>41.586959982979764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2876576</v>
      </c>
      <c r="M30" s="30">
        <f t="shared" ca="1" si="19"/>
        <v>2876576</v>
      </c>
      <c r="N30" s="30">
        <f t="shared" si="19"/>
        <v>1196280.51</v>
      </c>
      <c r="O30" s="30">
        <f t="shared" ca="1" si="17"/>
        <v>41.586959982979764</v>
      </c>
      <c r="P30" s="30">
        <f t="shared" ca="1" si="18"/>
        <v>41.586959982979764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2876576</v>
      </c>
      <c r="M31" s="497">
        <f t="shared" ca="1" si="20"/>
        <v>2876576</v>
      </c>
      <c r="N31" s="497">
        <f t="shared" si="20"/>
        <v>1196280.51</v>
      </c>
      <c r="O31" s="497">
        <f t="shared" ca="1" si="17"/>
        <v>41.586959982979764</v>
      </c>
      <c r="P31" s="497">
        <f t="shared" ca="1" si="18"/>
        <v>41.586959982979764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2876576</v>
      </c>
      <c r="M33" s="93">
        <f t="shared" ca="1" si="21"/>
        <v>2876576</v>
      </c>
      <c r="N33" s="93">
        <f t="shared" si="21"/>
        <v>1196280.51</v>
      </c>
      <c r="O33" s="93">
        <f t="shared" ca="1" si="17"/>
        <v>41.586959982979764</v>
      </c>
      <c r="P33" s="93">
        <f t="shared" ca="1" si="18"/>
        <v>41.586959982979764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5574212</v>
      </c>
      <c r="M37" s="870">
        <f t="shared" ca="1" si="24"/>
        <v>4953804</v>
      </c>
      <c r="N37" s="870">
        <f t="shared" ca="1" si="24"/>
        <v>3990880.1000000006</v>
      </c>
      <c r="O37" s="870">
        <f t="shared" ca="1" si="17"/>
        <v>71.595412948054374</v>
      </c>
      <c r="P37" s="870">
        <f t="shared" ca="1" si="18"/>
        <v>80.561929781638526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720442</v>
      </c>
      <c r="M41" s="85">
        <f t="shared" ca="1" si="25"/>
        <v>737049</v>
      </c>
      <c r="N41" s="85">
        <f t="shared" ca="1" si="25"/>
        <v>420226</v>
      </c>
      <c r="O41" s="85">
        <f t="shared" ref="O41:O49" ca="1" si="26">IF(L41&gt;0,N41*100/L41,0)</f>
        <v>58.328914749556525</v>
      </c>
      <c r="P41" s="85">
        <f t="shared" ref="P41:P49" ca="1" si="27">IF(M41&gt;0,N41*100/M41,0)</f>
        <v>57.014662525829351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720442</v>
      </c>
      <c r="M43" s="92">
        <f t="shared" ca="1" si="28"/>
        <v>737049</v>
      </c>
      <c r="N43" s="92">
        <f t="shared" ca="1" si="28"/>
        <v>420226</v>
      </c>
      <c r="O43" s="92">
        <f t="shared" ca="1" si="26"/>
        <v>58.328914749556525</v>
      </c>
      <c r="P43" s="92">
        <f t="shared" ca="1" si="27"/>
        <v>57.014662525829351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720442</v>
      </c>
      <c r="M44" s="497">
        <f t="shared" ca="1" si="29"/>
        <v>737049</v>
      </c>
      <c r="N44" s="497">
        <f t="shared" ca="1" si="29"/>
        <v>420226</v>
      </c>
      <c r="O44" s="497">
        <f t="shared" ca="1" si="26"/>
        <v>58.328914749556525</v>
      </c>
      <c r="P44" s="497">
        <f t="shared" ca="1" si="27"/>
        <v>57.014662525829351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IFERROR(__xludf.DUMMYFUNCTION("IMPORTRANGE(""https://docs.google.com/spreadsheets/d/1MeEWN-I1oV_STSDYn1IFDPWt_1FKiwhDph83XaGc0o0/edit?usp=sharing"",""งบพรบ!M48"")"),720442)</f>
        <v>720442</v>
      </c>
      <c r="M46" s="93">
        <f ca="1">IFERROR(__xludf.DUMMYFUNCTION("IMPORTRANGE(""https://docs.google.com/spreadsheets/d/1MeEWN-I1oV_STSDYn1IFDPWt_1FKiwhDph83XaGc0o0/edit?usp=sharing"",""งบพรบ!R48"")"),737049)</f>
        <v>737049</v>
      </c>
      <c r="N46" s="93">
        <f ca="1">IFERROR(__xludf.DUMMYFUNCTION("IMPORTRANGE(""https://docs.google.com/spreadsheets/d/1MeEWN-I1oV_STSDYn1IFDPWt_1FKiwhDph83XaGc0o0/edit?usp=sharing"",""งบพรบ!T48"")"),420226)</f>
        <v>420226</v>
      </c>
      <c r="O46" s="93">
        <f t="shared" ca="1" si="26"/>
        <v>58.328914749556525</v>
      </c>
      <c r="P46" s="93">
        <f t="shared" ca="1" si="27"/>
        <v>57.014662525829351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IFERROR(__xludf.DUMMYFUNCTION("IMPORTRANGE(""https://docs.google.com/spreadsheets/d/1MeEWN-I1oV_STSDYn1IFDPWt_1FKiwhDph83XaGc0o0/edit?usp=sharing"",""งบพรบ!P48"")"),0)</f>
        <v>0</v>
      </c>
      <c r="M49" s="52">
        <f ca="1">IFERROR(__xludf.DUMMYFUNCTION("IMPORTRANGE(""https://docs.google.com/spreadsheets/d/1MeEWN-I1oV_STSDYn1IFDPWt_1FKiwhDph83XaGc0o0/edit?usp=sharing"",""งบพรบ!S48"")"),0)</f>
        <v>0</v>
      </c>
      <c r="N49" s="52">
        <f ca="1">IFERROR(__xludf.DUMMYFUNCTION("IMPORTRANGE(""https://docs.google.com/spreadsheets/d/1MeEWN-I1oV_STSDYn1IFDPWt_1FKiwhDph83XaGc0o0/edit?usp=sharing"",""งบพรบ!U48"")"),0)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2260500</v>
      </c>
      <c r="M53" s="116">
        <f t="shared" ca="1" si="31"/>
        <v>2153620</v>
      </c>
      <c r="N53" s="116">
        <f t="shared" ca="1" si="31"/>
        <v>1836603.1</v>
      </c>
      <c r="O53" s="116">
        <f t="shared" ref="O53:O61" ca="1" si="32">IF(L53&gt;0,N53*100/L53,0)</f>
        <v>81.247648750276483</v>
      </c>
      <c r="P53" s="116">
        <f t="shared" ref="P53:P61" ca="1" si="33">IF(M53&gt;0,N53*100/M53,0)</f>
        <v>85.279812594608146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2260500</v>
      </c>
      <c r="M55" s="123">
        <f t="shared" ca="1" si="34"/>
        <v>2153620</v>
      </c>
      <c r="N55" s="123">
        <f t="shared" ca="1" si="34"/>
        <v>1836603.1</v>
      </c>
      <c r="O55" s="123">
        <f t="shared" ca="1" si="32"/>
        <v>81.247648750276483</v>
      </c>
      <c r="P55" s="123">
        <f t="shared" ca="1" si="33"/>
        <v>85.279812594608146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652000</v>
      </c>
      <c r="M56" s="497">
        <f t="shared" ca="1" si="35"/>
        <v>545620</v>
      </c>
      <c r="N56" s="497">
        <f t="shared" ca="1" si="35"/>
        <v>405603.1</v>
      </c>
      <c r="O56" s="497">
        <f t="shared" ca="1" si="32"/>
        <v>62.209064417177913</v>
      </c>
      <c r="P56" s="497">
        <f t="shared" ca="1" si="33"/>
        <v>74.33801913419596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IFERROR(__xludf.DUMMYFUNCTION("IMPORTRANGE(""https://docs.google.com/spreadsheets/d/1MeEWN-I1oV_STSDYn1IFDPWt_1FKiwhDph83XaGc0o0/edit?usp=sharing"",""งบพรบ!W48"")"),652000)</f>
        <v>652000</v>
      </c>
      <c r="M58" s="93">
        <f ca="1">IFERROR(__xludf.DUMMYFUNCTION("IMPORTRANGE(""https://docs.google.com/spreadsheets/d/1MeEWN-I1oV_STSDYn1IFDPWt_1FKiwhDph83XaGc0o0/edit?usp=sharing"",""งบพรบ!AB48"")"),545620)</f>
        <v>545620</v>
      </c>
      <c r="N58" s="93">
        <f ca="1">IFERROR(__xludf.DUMMYFUNCTION("IMPORTRANGE(""https://docs.google.com/spreadsheets/d/1MeEWN-I1oV_STSDYn1IFDPWt_1FKiwhDph83XaGc0o0/edit?usp=sharing"",""งบพรบ!AD48"")"),405603.1)</f>
        <v>405603.1</v>
      </c>
      <c r="O58" s="93">
        <f t="shared" ca="1" si="32"/>
        <v>62.209064417177913</v>
      </c>
      <c r="P58" s="93">
        <f t="shared" ca="1" si="33"/>
        <v>74.33801913419596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1608500</v>
      </c>
      <c r="M59" s="497">
        <f t="shared" ca="1" si="36"/>
        <v>1608000</v>
      </c>
      <c r="N59" s="497">
        <f t="shared" ca="1" si="36"/>
        <v>1431000</v>
      </c>
      <c r="O59" s="497">
        <f t="shared" ca="1" si="32"/>
        <v>88.964874106310234</v>
      </c>
      <c r="P59" s="497">
        <f t="shared" ca="1" si="33"/>
        <v>88.992537313432834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IFERROR(__xludf.DUMMYFUNCTION("IMPORTRANGE(""https://docs.google.com/spreadsheets/d/1MeEWN-I1oV_STSDYn1IFDPWt_1FKiwhDph83XaGc0o0/edit?usp=sharing"",""งบพรบ!Z48"")"),1608500)</f>
        <v>1608500</v>
      </c>
      <c r="M61" s="52">
        <f ca="1">IFERROR(__xludf.DUMMYFUNCTION("IMPORTRANGE(""https://docs.google.com/spreadsheets/d/1MeEWN-I1oV_STSDYn1IFDPWt_1FKiwhDph83XaGc0o0/edit?usp=sharing"",""งบพรบ!AC48"")"),1608000)</f>
        <v>1608000</v>
      </c>
      <c r="N61" s="52">
        <f ca="1">IFERROR(__xludf.DUMMYFUNCTION("IMPORTRANGE(""https://docs.google.com/spreadsheets/d/1MeEWN-I1oV_STSDYn1IFDPWt_1FKiwhDph83XaGc0o0/edit?usp=sharing"",""งบพรบ!AE48"")"),1431000)</f>
        <v>1431000</v>
      </c>
      <c r="O61" s="52">
        <f t="shared" ca="1" si="32"/>
        <v>88.964874106310234</v>
      </c>
      <c r="P61" s="52">
        <f t="shared" ca="1" si="33"/>
        <v>88.992537313432834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384000</v>
      </c>
      <c r="M66" s="155">
        <f t="shared" ca="1" si="39"/>
        <v>316620</v>
      </c>
      <c r="N66" s="155">
        <f t="shared" ca="1" si="39"/>
        <v>285442</v>
      </c>
      <c r="O66" s="155">
        <f t="shared" ref="O66:O74" ca="1" si="40">IF(L66&gt;0,N66*100/L66,0)</f>
        <v>74.333854166666669</v>
      </c>
      <c r="P66" s="155">
        <f t="shared" ref="P66:P74" ca="1" si="41">IF(M66&gt;0,N66*100/M66,0)</f>
        <v>90.152864632682707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384000</v>
      </c>
      <c r="M68" s="93">
        <f t="shared" ca="1" si="42"/>
        <v>316620</v>
      </c>
      <c r="N68" s="93">
        <f t="shared" ca="1" si="42"/>
        <v>285442</v>
      </c>
      <c r="O68" s="93">
        <f t="shared" ca="1" si="40"/>
        <v>74.333854166666669</v>
      </c>
      <c r="P68" s="93">
        <f t="shared" ca="1" si="41"/>
        <v>90.152864632682707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384000</v>
      </c>
      <c r="M69" s="497">
        <f t="shared" ca="1" si="43"/>
        <v>316620</v>
      </c>
      <c r="N69" s="497">
        <f t="shared" ca="1" si="43"/>
        <v>285442</v>
      </c>
      <c r="O69" s="497">
        <f t="shared" ca="1" si="40"/>
        <v>74.333854166666669</v>
      </c>
      <c r="P69" s="497">
        <f t="shared" ca="1" si="41"/>
        <v>90.152864632682707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IFERROR(__xludf.DUMMYFUNCTION("IMPORTRANGE(""https://docs.google.com/spreadsheets/d/1MeEWN-I1oV_STSDYn1IFDPWt_1FKiwhDph83XaGc0o0/edit?usp=sharing"",""งบพรบ!AG48"")"),384000)</f>
        <v>384000</v>
      </c>
      <c r="M71" s="93">
        <f ca="1">IFERROR(__xludf.DUMMYFUNCTION("IMPORTRANGE(""https://docs.google.com/spreadsheets/d/1MeEWN-I1oV_STSDYn1IFDPWt_1FKiwhDph83XaGc0o0/edit?usp=sharing"",""งบพรบ!AL48"")"),316620)</f>
        <v>316620</v>
      </c>
      <c r="N71" s="93">
        <f ca="1">IFERROR(__xludf.DUMMYFUNCTION("IMPORTRANGE(""https://docs.google.com/spreadsheets/d/1MeEWN-I1oV_STSDYn1IFDPWt_1FKiwhDph83XaGc0o0/edit?usp=sharing"",""งบพรบ!AN48"")"),285442)</f>
        <v>285442</v>
      </c>
      <c r="O71" s="93">
        <f t="shared" ca="1" si="40"/>
        <v>74.333854166666669</v>
      </c>
      <c r="P71" s="93">
        <f t="shared" ca="1" si="41"/>
        <v>90.152864632682707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IFERROR(__xludf.DUMMYFUNCTION("IMPORTRANGE(""https://docs.google.com/spreadsheets/d/1MeEWN-I1oV_STSDYn1IFDPWt_1FKiwhDph83XaGc0o0/edit?usp=sharing"",""งบพรบ!AJ48"")"),0)</f>
        <v>0</v>
      </c>
      <c r="M74" s="93">
        <f ca="1">IFERROR(__xludf.DUMMYFUNCTION("IMPORTRANGE(""https://docs.google.com/spreadsheets/d/1MeEWN-I1oV_STSDYn1IFDPWt_1FKiwhDph83XaGc0o0/edit?usp=sharing"",""งบพรบ!AM48"")"),0)</f>
        <v>0</v>
      </c>
      <c r="N74" s="93">
        <f ca="1">IFERROR(__xludf.DUMMYFUNCTION("IMPORTRANGE(""https://docs.google.com/spreadsheets/d/1MeEWN-I1oV_STSDYn1IFDPWt_1FKiwhDph83XaGc0o0/edit?usp=sharing"",""งบพรบ!AO48"")"),0)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IFERROR(__xludf.DUMMYFUNCTION("IMPORTRANGE(""https://docs.google.com/spreadsheets/d/1QqKyyYR6Q21VydFLVH3TRQUabQu_ym0Zz7PgGX0-kHA/edit?usp=sharing"",""แผน!G48"")"),30)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IFERROR(__xludf.DUMMYFUNCTION("IMPORTRANGE(""https://docs.google.com/spreadsheets/d/1QqKyyYR6Q21VydFLVH3TRQUabQu_ym0Zz7PgGX0-kHA/edit?usp=sharing"",""แผน!J48"")"),1)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72919</v>
      </c>
      <c r="O88" s="155">
        <f t="shared" ref="O88:O96" ca="1" si="50">IF(L88&gt;0,N88*100/L88,0)</f>
        <v>84.750116225011624</v>
      </c>
      <c r="P88" s="155">
        <f t="shared" ref="P88:P96" ca="1" si="51">IF(M88&gt;0,N88*100/M88,0)</f>
        <v>91.906982606503661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72919</v>
      </c>
      <c r="O90" s="93">
        <f t="shared" ca="1" si="50"/>
        <v>84.750116225011624</v>
      </c>
      <c r="P90" s="93">
        <f t="shared" ca="1" si="51"/>
        <v>91.906982606503661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79340</v>
      </c>
      <c r="N91" s="497">
        <f t="shared" ca="1" si="53"/>
        <v>72919</v>
      </c>
      <c r="O91" s="497">
        <f t="shared" ca="1" si="50"/>
        <v>84.750116225011624</v>
      </c>
      <c r="P91" s="497">
        <f t="shared" ca="1" si="51"/>
        <v>91.906982606503661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IFERROR(__xludf.DUMMYFUNCTION("IMPORTRANGE(""https://docs.google.com/spreadsheets/d/1MeEWN-I1oV_STSDYn1IFDPWt_1FKiwhDph83XaGc0o0/edit?usp=sharing"",""งบพรบ!AQ48"")"),86040)</f>
        <v>86040</v>
      </c>
      <c r="M93" s="93">
        <f ca="1">IFERROR(__xludf.DUMMYFUNCTION("IMPORTRANGE(""https://docs.google.com/spreadsheets/d/1MeEWN-I1oV_STSDYn1IFDPWt_1FKiwhDph83XaGc0o0/edit?usp=sharing"",""งบพรบ!AV48"")"),79340)</f>
        <v>79340</v>
      </c>
      <c r="N93" s="93">
        <f ca="1">IFERROR(__xludf.DUMMYFUNCTION("IMPORTRANGE(""https://docs.google.com/spreadsheets/d/1MeEWN-I1oV_STSDYn1IFDPWt_1FKiwhDph83XaGc0o0/edit?usp=sharing"",""งบพรบ!AX48"")"),72919)</f>
        <v>72919</v>
      </c>
      <c r="O93" s="93">
        <f t="shared" ca="1" si="50"/>
        <v>84.750116225011624</v>
      </c>
      <c r="P93" s="93">
        <f t="shared" ca="1" si="51"/>
        <v>91.906982606503661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IFERROR(__xludf.DUMMYFUNCTION("IMPORTRANGE(""https://docs.google.com/spreadsheets/d/1MeEWN-I1oV_STSDYn1IFDPWt_1FKiwhDph83XaGc0o0/edit?usp=sharing"",""งบพรบ!AT48"")"),0)</f>
        <v>0</v>
      </c>
      <c r="M96" s="93">
        <f ca="1">IFERROR(__xludf.DUMMYFUNCTION("IMPORTRANGE(""https://docs.google.com/spreadsheets/d/1MeEWN-I1oV_STSDYn1IFDPWt_1FKiwhDph83XaGc0o0/edit?usp=sharing"",""งบพรบ!AW48"")"),0)</f>
        <v>0</v>
      </c>
      <c r="N96" s="93">
        <f ca="1">IFERROR(__xludf.DUMMYFUNCTION("IMPORTRANGE(""https://docs.google.com/spreadsheets/d/1MeEWN-I1oV_STSDYn1IFDPWt_1FKiwhDph83XaGc0o0/edit?usp=sharing"",""งบพรบ!AY48"")"),0)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IFERROR(__xludf.DUMMYFUNCTION("IMPORTRANGE(""https://docs.google.com/spreadsheets/d/1QqKyyYR6Q21VydFLVH3TRQUabQu_ym0Zz7PgGX0-kHA/edit?usp=sharing"",""แผน!R48"")"),10)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252000</v>
      </c>
      <c r="M119" s="155">
        <f t="shared" ca="1" si="60"/>
        <v>251985</v>
      </c>
      <c r="N119" s="155">
        <f t="shared" ca="1" si="60"/>
        <v>251985</v>
      </c>
      <c r="O119" s="155">
        <f t="shared" ref="O119:O127" ca="1" si="61">IF(L119&gt;0,N119*100/L119,0)</f>
        <v>99.99404761904762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252000</v>
      </c>
      <c r="M121" s="93">
        <f t="shared" ca="1" si="63"/>
        <v>251985</v>
      </c>
      <c r="N121" s="93">
        <f t="shared" ca="1" si="63"/>
        <v>251985</v>
      </c>
      <c r="O121" s="93">
        <f t="shared" ca="1" si="61"/>
        <v>99.99404761904762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IFERROR(__xludf.DUMMYFUNCTION("IMPORTRANGE(""https://docs.google.com/spreadsheets/d/1MeEWN-I1oV_STSDYn1IFDPWt_1FKiwhDph83XaGc0o0/edit?usp=sharing"",""งบพรบ!BA48"")"),0)</f>
        <v>0</v>
      </c>
      <c r="M124" s="93">
        <f ca="1">IFERROR(__xludf.DUMMYFUNCTION("IMPORTRANGE(""https://docs.google.com/spreadsheets/d/1MeEWN-I1oV_STSDYn1IFDPWt_1FKiwhDph83XaGc0o0/edit?usp=sharing"",""งบพรบ!BF48"")"),0)</f>
        <v>0</v>
      </c>
      <c r="N124" s="93">
        <f ca="1">IFERROR(__xludf.DUMMYFUNCTION("IMPORTRANGE(""https://docs.google.com/spreadsheets/d/1MeEWN-I1oV_STSDYn1IFDPWt_1FKiwhDph83XaGc0o0/edit?usp=sharing"",""งบพรบ!BH48"")"),0)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252000</v>
      </c>
      <c r="M125" s="497">
        <f t="shared" ca="1" si="65"/>
        <v>251985</v>
      </c>
      <c r="N125" s="497">
        <f t="shared" ca="1" si="65"/>
        <v>251985</v>
      </c>
      <c r="O125" s="497">
        <f t="shared" ca="1" si="61"/>
        <v>99.99404761904762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IFERROR(__xludf.DUMMYFUNCTION("IMPORTRANGE(""https://docs.google.com/spreadsheets/d/1MeEWN-I1oV_STSDYn1IFDPWt_1FKiwhDph83XaGc0o0/edit?usp=sharing"",""งบพรบ!BD48"")"),252000)</f>
        <v>252000</v>
      </c>
      <c r="M127" s="93">
        <f ca="1">IFERROR(__xludf.DUMMYFUNCTION("IMPORTRANGE(""https://docs.google.com/spreadsheets/d/1MeEWN-I1oV_STSDYn1IFDPWt_1FKiwhDph83XaGc0o0/edit?usp=sharing"",""งบพรบ!BG48"")"),251985)</f>
        <v>251985</v>
      </c>
      <c r="N127" s="93">
        <f ca="1">IFERROR(__xludf.DUMMYFUNCTION("IMPORTRANGE(""https://docs.google.com/spreadsheets/d/1MeEWN-I1oV_STSDYn1IFDPWt_1FKiwhDph83XaGc0o0/edit?usp=sharing"",""งบพรบ!BI48"")"),251985)</f>
        <v>251985</v>
      </c>
      <c r="O127" s="93">
        <f t="shared" ca="1" si="61"/>
        <v>99.99404761904762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IFERROR(__xludf.DUMMYFUNCTION("IMPORTRANGE(""https://docs.google.com/spreadsheets/d/1MeEWN-I1oV_STSDYn1IFDPWt_1FKiwhDph83XaGc0o0/edit?usp=sharing"",""งบพรบ!BK48"")"),0)</f>
        <v>0</v>
      </c>
      <c r="M137" s="93">
        <f ca="1">IFERROR(__xludf.DUMMYFUNCTION("IMPORTRANGE(""https://docs.google.com/spreadsheets/d/1MeEWN-I1oV_STSDYn1IFDPWt_1FKiwhDph83XaGc0o0/edit?usp=sharing"",""งบพรบ!BP48"")"),0)</f>
        <v>0</v>
      </c>
      <c r="N137" s="93">
        <f ca="1">IFERROR(__xludf.DUMMYFUNCTION("IMPORTRANGE(""https://docs.google.com/spreadsheets/d/1MeEWN-I1oV_STSDYn1IFDPWt_1FKiwhDph83XaGc0o0/edit?usp=sharing"",""งบพรบ!BR48"")"),0)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IFERROR(__xludf.DUMMYFUNCTION("IMPORTRANGE(""https://docs.google.com/spreadsheets/d/1MeEWN-I1oV_STSDYn1IFDPWt_1FKiwhDph83XaGc0o0/edit?usp=sharing"",""งบพรบ!BN48"")"),0)</f>
        <v>0</v>
      </c>
      <c r="M140" s="93">
        <f ca="1">IFERROR(__xludf.DUMMYFUNCTION("IMPORTRANGE(""https://docs.google.com/spreadsheets/d/1MeEWN-I1oV_STSDYn1IFDPWt_1FKiwhDph83XaGc0o0/edit?usp=sharing"",""งบพรบ!BQ48"")"),0)</f>
        <v>0</v>
      </c>
      <c r="N140" s="93">
        <f ca="1">IFERROR(__xludf.DUMMYFUNCTION("IMPORTRANGE(""https://docs.google.com/spreadsheets/d/1MeEWN-I1oV_STSDYn1IFDPWt_1FKiwhDph83XaGc0o0/edit?usp=sharing"",""งบพรบ!BS48"")"),0)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IFERROR(__xludf.DUMMYFUNCTION("IMPORTRANGE(""https://docs.google.com/spreadsheets/d/1MeEWN-I1oV_STSDYn1IFDPWt_1FKiwhDph83XaGc0o0/edit?usp=sharing"",""งบพรบ!BU48"")"),0)</f>
        <v>0</v>
      </c>
      <c r="M154" s="93">
        <f ca="1">IFERROR(__xludf.DUMMYFUNCTION("IMPORTRANGE(""https://docs.google.com/spreadsheets/d/1MeEWN-I1oV_STSDYn1IFDPWt_1FKiwhDph83XaGc0o0/edit?usp=sharing"",""งบพรบ!BZ48"")"),0)</f>
        <v>0</v>
      </c>
      <c r="N154" s="93">
        <f ca="1">IFERROR(__xludf.DUMMYFUNCTION("IMPORTRANGE(""https://docs.google.com/spreadsheets/d/1MeEWN-I1oV_STSDYn1IFDPWt_1FKiwhDph83XaGc0o0/edit?usp=sharing"",""งบพรบ!CB48"")"),0)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IFERROR(__xludf.DUMMYFUNCTION("IMPORTRANGE(""https://docs.google.com/spreadsheets/d/1MeEWN-I1oV_STSDYn1IFDPWt_1FKiwhDph83XaGc0o0/edit?usp=sharing"",""งบพรบ!BX48"")"),0)</f>
        <v>0</v>
      </c>
      <c r="M157" s="93">
        <f ca="1">IFERROR(__xludf.DUMMYFUNCTION("IMPORTRANGE(""https://docs.google.com/spreadsheets/d/1MeEWN-I1oV_STSDYn1IFDPWt_1FKiwhDph83XaGc0o0/edit?usp=sharing"",""งบพรบ!CA48"")"),0)</f>
        <v>0</v>
      </c>
      <c r="N157" s="93">
        <f ca="1">IFERROR(__xludf.DUMMYFUNCTION("IMPORTRANGE(""https://docs.google.com/spreadsheets/d/1MeEWN-I1oV_STSDYn1IFDPWt_1FKiwhDph83XaGc0o0/edit?usp=sharing"",""งบพรบ!CC48"")"),0)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IFERROR(__xludf.DUMMYFUNCTION("IMPORTRANGE(""https://docs.google.com/spreadsheets/d/1MeEWN-I1oV_STSDYn1IFDPWt_1FKiwhDph83XaGc0o0/edit?usp=sharing"",""งบพรบ!CE48"")"),23060)</f>
        <v>23060</v>
      </c>
      <c r="M170" s="93">
        <f ca="1">IFERROR(__xludf.DUMMYFUNCTION("IMPORTRANGE(""https://docs.google.com/spreadsheets/d/1MeEWN-I1oV_STSDYn1IFDPWt_1FKiwhDph83XaGc0o0/edit?usp=sharing"",""งบพรบ!CJ48"")"),23060)</f>
        <v>23060</v>
      </c>
      <c r="N170" s="93">
        <f ca="1">IFERROR(__xludf.DUMMYFUNCTION("IMPORTRANGE(""https://docs.google.com/spreadsheets/d/1MeEWN-I1oV_STSDYn1IFDPWt_1FKiwhDph83XaGc0o0/edit?usp=sharing"",""งบพรบ!CL48"")"),23060)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IFERROR(__xludf.DUMMYFUNCTION("IMPORTRANGE(""https://docs.google.com/spreadsheets/d/1MeEWN-I1oV_STSDYn1IFDPWt_1FKiwhDph83XaGc0o0/edit?usp=sharing"",""งบพรบ!CH48"")"),0)</f>
        <v>0</v>
      </c>
      <c r="M173" s="93">
        <f ca="1">IFERROR(__xludf.DUMMYFUNCTION("IMPORTRANGE(""https://docs.google.com/spreadsheets/d/1MeEWN-I1oV_STSDYn1IFDPWt_1FKiwhDph83XaGc0o0/edit?usp=sharing"",""งบพรบ!CK48"")"),0)</f>
        <v>0</v>
      </c>
      <c r="N173" s="93">
        <f ca="1">IFERROR(__xludf.DUMMYFUNCTION("IMPORTRANGE(""https://docs.google.com/spreadsheets/d/1MeEWN-I1oV_STSDYn1IFDPWt_1FKiwhDph83XaGc0o0/edit?usp=sharing"",""งบพรบ!CM48"")"),0)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413500</v>
      </c>
      <c r="M181" s="155">
        <f t="shared" ca="1" si="92"/>
        <v>327750</v>
      </c>
      <c r="N181" s="155">
        <f t="shared" ca="1" si="92"/>
        <v>278640.87</v>
      </c>
      <c r="O181" s="155">
        <f t="shared" ref="O181:O189" ca="1" si="93">IF(L181&gt;0,N181*100/L181,0)</f>
        <v>67.385941958887543</v>
      </c>
      <c r="P181" s="155">
        <f t="shared" ref="P181:P189" ca="1" si="94">IF(M181&gt;0,N181*100/M181,0)</f>
        <v>85.016283752860417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413500</v>
      </c>
      <c r="M183" s="93">
        <f t="shared" ca="1" si="95"/>
        <v>327750</v>
      </c>
      <c r="N183" s="93">
        <f t="shared" ca="1" si="95"/>
        <v>278640.87</v>
      </c>
      <c r="O183" s="93">
        <f t="shared" ca="1" si="93"/>
        <v>67.385941958887543</v>
      </c>
      <c r="P183" s="93">
        <f t="shared" ca="1" si="94"/>
        <v>85.016283752860417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413500</v>
      </c>
      <c r="M184" s="497">
        <f t="shared" ca="1" si="96"/>
        <v>327750</v>
      </c>
      <c r="N184" s="497">
        <f t="shared" ca="1" si="96"/>
        <v>278640.87</v>
      </c>
      <c r="O184" s="497">
        <f t="shared" ca="1" si="93"/>
        <v>67.385941958887543</v>
      </c>
      <c r="P184" s="497">
        <f t="shared" ca="1" si="94"/>
        <v>85.016283752860417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IFERROR(__xludf.DUMMYFUNCTION("IMPORTRANGE(""https://docs.google.com/spreadsheets/d/1MeEWN-I1oV_STSDYn1IFDPWt_1FKiwhDph83XaGc0o0/edit?usp=sharing"",""งบพรบ!CO48"")"),413500)</f>
        <v>413500</v>
      </c>
      <c r="M186" s="93">
        <f ca="1">IFERROR(__xludf.DUMMYFUNCTION("IMPORTRANGE(""https://docs.google.com/spreadsheets/d/1MeEWN-I1oV_STSDYn1IFDPWt_1FKiwhDph83XaGc0o0/edit?usp=sharing"",""งบพรบ!CT48"")"),327750)</f>
        <v>327750</v>
      </c>
      <c r="N186" s="93">
        <f ca="1">IFERROR(__xludf.DUMMYFUNCTION("IMPORTRANGE(""https://docs.google.com/spreadsheets/d/1MeEWN-I1oV_STSDYn1IFDPWt_1FKiwhDph83XaGc0o0/edit?usp=sharing"",""งบพรบ!CV48"")"),278640.87)</f>
        <v>278640.87</v>
      </c>
      <c r="O186" s="93">
        <f t="shared" ca="1" si="93"/>
        <v>67.385941958887543</v>
      </c>
      <c r="P186" s="93">
        <f t="shared" ca="1" si="94"/>
        <v>85.016283752860417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IFERROR(__xludf.DUMMYFUNCTION("IMPORTRANGE(""https://docs.google.com/spreadsheets/d/1MeEWN-I1oV_STSDYn1IFDPWt_1FKiwhDph83XaGc0o0/edit?usp=sharing"",""งบพรบ!CR48"")"),0)</f>
        <v>0</v>
      </c>
      <c r="M189" s="93">
        <f ca="1">IFERROR(__xludf.DUMMYFUNCTION("IMPORTRANGE(""https://docs.google.com/spreadsheets/d/1MeEWN-I1oV_STSDYn1IFDPWt_1FKiwhDph83XaGc0o0/edit?usp=sharing"",""งบพรบ!CU48"")"),0)</f>
        <v>0</v>
      </c>
      <c r="N189" s="93">
        <f ca="1">IFERROR(__xludf.DUMMYFUNCTION("IMPORTRANGE(""https://docs.google.com/spreadsheets/d/1MeEWN-I1oV_STSDYn1IFDPWt_1FKiwhDph83XaGc0o0/edit?usp=sharing"",""งบพรบ!CW48"")"),0)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32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26816</v>
      </c>
      <c r="O198" s="155">
        <f ca="1">IF(L198&gt;0,N198*100/L198,0)</f>
        <v>68.758974358974356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IFERROR(__xludf.DUMMYFUNCTION("IMPORTRANGE(""https://docs.google.com/spreadsheets/d/1QqKyyYR6Q21VydFLVH3TRQUabQu_ym0Zz7PgGX0-kHA/edit?usp=sharing"",""แผน!AF48"")"),24000)</f>
        <v>24000</v>
      </c>
      <c r="M200" s="497"/>
      <c r="N200" s="838">
        <v>23816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IFERROR(__xludf.DUMMYFUNCTION("IMPORTRANGE(""https://docs.google.com/spreadsheets/d/1QqKyyYR6Q21VydFLVH3TRQUabQu_ym0Zz7PgGX0-kHA/edit?usp=sharing"",""แผน!AG48"")"),12000)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/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27000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IFERROR(__xludf.DUMMYFUNCTION("IMPORTRANGE(""https://docs.google.com/spreadsheets/d/1QqKyyYR6Q21VydFLVH3TRQUabQu_ym0Zz7PgGX0-kHA/edit?usp=sharing"",""แผน!AK48"")"),3000)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IFERROR(__xludf.DUMMYFUNCTION("IMPORTRANGE(""https://docs.google.com/spreadsheets/d/1QqKyyYR6Q21VydFLVH3TRQUabQu_ym0Zz7PgGX0-kHA/edit?usp=sharing"",""แผน!AL48"")"),15000)</f>
        <v>15000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IFERROR(__xludf.DUMMYFUNCTION("IMPORTRANGE(""https://docs.google.com/spreadsheets/d/1QqKyyYR6Q21VydFLVH3TRQUabQu_ym0Zz7PgGX0-kHA/edit?usp=sharing"",""แผน!AM48"")"),24000)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IFERROR(__xludf.DUMMYFUNCTION("IMPORTRANGE(""https://docs.google.com/spreadsheets/d/1QqKyyYR6Q21VydFLVH3TRQUabQu_ym0Zz7PgGX0-kHA/edit?usp=sharing"",""แผน!AN48"")"),3)</f>
        <v>3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IFERROR(__xludf.DUMMYFUNCTION("IMPORTRANGE(""https://docs.google.com/spreadsheets/d/1QqKyyYR6Q21VydFLVH3TRQUabQu_ym0Zz7PgGX0-kHA/edit?usp=sharing"",""แผน!AN48"")"),3)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16500</v>
      </c>
      <c r="M217" s="155"/>
      <c r="N217" s="155">
        <f>N218+N219+N220</f>
        <v>9535</v>
      </c>
      <c r="O217" s="155">
        <f ca="1">IF(L217&gt;0,N217*100/L217,0)</f>
        <v>57.787878787878789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IFERROR(__xludf.DUMMYFUNCTION("IMPORTRANGE(""https://docs.google.com/spreadsheets/d/1QqKyyYR6Q21VydFLVH3TRQUabQu_ym0Zz7PgGX0-kHA/edit?usp=sharing"",""แผน!AP48"")"),3000)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IFERROR(__xludf.DUMMYFUNCTION("IMPORTRANGE(""https://docs.google.com/spreadsheets/d/1QqKyyYR6Q21VydFLVH3TRQUabQu_ym0Zz7PgGX0-kHA/edit?usp=sharing"",""แผน!AQ48"")"),3500)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IFERROR(__xludf.DUMMYFUNCTION("IMPORTRANGE(""https://docs.google.com/spreadsheets/d/1QqKyyYR6Q21VydFLVH3TRQUabQu_ym0Zz7PgGX0-kHA/edit?usp=sharing"",""แผน!AR48"")"),10000)</f>
        <v>10000</v>
      </c>
      <c r="M220" s="497"/>
      <c r="N220" s="838">
        <v>9535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IFERROR(__xludf.DUMMYFUNCTION("IMPORTRANGE(""https://docs.google.com/spreadsheets/d/1QqKyyYR6Q21VydFLVH3TRQUabQu_ym0Zz7PgGX0-kHA/edit?usp=sharing"",""แผน!AT48"")"),10000)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IFERROR(__xludf.DUMMYFUNCTION("IMPORTRANGE(""https://docs.google.com/spreadsheets/d/1QqKyyYR6Q21VydFLVH3TRQUabQu_ym0Zz7PgGX0-kHA/edit?usp=sharing"",""แผน!AS48"")"),10)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23183.5</v>
      </c>
      <c r="O261" s="155">
        <f t="shared" ref="O261:O269" ca="1" si="117">IF(L261&gt;0,N261*100/L261,0)</f>
        <v>86.184014869888472</v>
      </c>
      <c r="P261" s="155">
        <f t="shared" ref="P261:P269" ca="1" si="118">IF(M261&gt;0,N261*100/M261,0)</f>
        <v>97.0020920502092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23183.5</v>
      </c>
      <c r="O263" s="93">
        <f t="shared" ca="1" si="117"/>
        <v>86.184014869888472</v>
      </c>
      <c r="P263" s="93">
        <f t="shared" ca="1" si="118"/>
        <v>97.0020920502092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23183.5</v>
      </c>
      <c r="O264" s="497">
        <f t="shared" ca="1" si="117"/>
        <v>86.184014869888472</v>
      </c>
      <c r="P264" s="497">
        <f t="shared" ca="1" si="118"/>
        <v>97.0020920502092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IFERROR(__xludf.DUMMYFUNCTION("IMPORTRANGE(""https://docs.google.com/spreadsheets/d/1MeEWN-I1oV_STSDYn1IFDPWt_1FKiwhDph83XaGc0o0/edit?usp=sharing"",""งบพรบ!CY48"")"),26900)</f>
        <v>26900</v>
      </c>
      <c r="M266" s="93">
        <f ca="1">IFERROR(__xludf.DUMMYFUNCTION("IMPORTRANGE(""https://docs.google.com/spreadsheets/d/1MeEWN-I1oV_STSDYn1IFDPWt_1FKiwhDph83XaGc0o0/edit?usp=sharing"",""งบพรบ!DD48"")"),23900)</f>
        <v>23900</v>
      </c>
      <c r="N266" s="93">
        <f ca="1">IFERROR(__xludf.DUMMYFUNCTION("IMPORTRANGE(""https://docs.google.com/spreadsheets/d/1MeEWN-I1oV_STSDYn1IFDPWt_1FKiwhDph83XaGc0o0/edit?usp=sharing"",""งบพรบ!DF48"")"),23183.5)</f>
        <v>23183.5</v>
      </c>
      <c r="O266" s="93">
        <f t="shared" ca="1" si="117"/>
        <v>86.184014869888472</v>
      </c>
      <c r="P266" s="93">
        <f t="shared" ca="1" si="118"/>
        <v>97.0020920502092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IFERROR(__xludf.DUMMYFUNCTION("IMPORTRANGE(""https://docs.google.com/spreadsheets/d/1MeEWN-I1oV_STSDYn1IFDPWt_1FKiwhDph83XaGc0o0/edit?usp=sharing"",""งบพรบ!DB48"")"),0)</f>
        <v>0</v>
      </c>
      <c r="M269" s="93">
        <f ca="1">IFERROR(__xludf.DUMMYFUNCTION("IMPORTRANGE(""https://docs.google.com/spreadsheets/d/1MeEWN-I1oV_STSDYn1IFDPWt_1FKiwhDph83XaGc0o0/edit?usp=sharing"",""งบพรบ!DE48"")"),0)</f>
        <v>0</v>
      </c>
      <c r="N269" s="93">
        <f ca="1">IFERROR(__xludf.DUMMYFUNCTION("IMPORTRANGE(""https://docs.google.com/spreadsheets/d/1MeEWN-I1oV_STSDYn1IFDPWt_1FKiwhDph83XaGc0o0/edit?usp=sharing"",""งบพรบ!DG48"")"),0)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300</v>
      </c>
      <c r="J276" s="406">
        <f t="shared" si="124"/>
        <v>300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49435</v>
      </c>
      <c r="O277" s="155">
        <f t="shared" ref="O277:O285" ca="1" si="126">IF(L277&gt;0,N277*100/L277,0)</f>
        <v>44.252976456897322</v>
      </c>
      <c r="P277" s="155">
        <f t="shared" ref="P277:P285" ca="1" si="127">IF(M277&gt;0,N277*100/M277,0)</f>
        <v>90.656519347148361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49435</v>
      </c>
      <c r="O279" s="93">
        <f t="shared" ca="1" si="126"/>
        <v>44.252976456897322</v>
      </c>
      <c r="P279" s="93">
        <f t="shared" ca="1" si="127"/>
        <v>90.656519347148361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54530</v>
      </c>
      <c r="N280" s="497">
        <f t="shared" ca="1" si="129"/>
        <v>49435</v>
      </c>
      <c r="O280" s="497">
        <f t="shared" ca="1" si="126"/>
        <v>44.252976456897322</v>
      </c>
      <c r="P280" s="497">
        <f t="shared" ca="1" si="127"/>
        <v>90.656519347148361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IFERROR(__xludf.DUMMYFUNCTION("IMPORTRANGE(""https://docs.google.com/spreadsheets/d/1MeEWN-I1oV_STSDYn1IFDPWt_1FKiwhDph83XaGc0o0/edit?usp=sharing"",""งบพรบ!DI48"")"),111710)</f>
        <v>111710</v>
      </c>
      <c r="M282" s="93">
        <f ca="1">IFERROR(__xludf.DUMMYFUNCTION("IMPORTRANGE(""https://docs.google.com/spreadsheets/d/1MeEWN-I1oV_STSDYn1IFDPWt_1FKiwhDph83XaGc0o0/edit?usp=sharing"",""งบพรบ!DN48"")"),54530)</f>
        <v>54530</v>
      </c>
      <c r="N282" s="93">
        <f ca="1">IFERROR(__xludf.DUMMYFUNCTION("IMPORTRANGE(""https://docs.google.com/spreadsheets/d/1MeEWN-I1oV_STSDYn1IFDPWt_1FKiwhDph83XaGc0o0/edit?usp=sharing"",""งบพรบ!DP48"")"),49435)</f>
        <v>49435</v>
      </c>
      <c r="O282" s="93">
        <f t="shared" ca="1" si="126"/>
        <v>44.252976456897322</v>
      </c>
      <c r="P282" s="93">
        <f t="shared" ca="1" si="127"/>
        <v>90.656519347148361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IFERROR(__xludf.DUMMYFUNCTION("IMPORTRANGE(""https://docs.google.com/spreadsheets/d/1MeEWN-I1oV_STSDYn1IFDPWt_1FKiwhDph83XaGc0o0/edit?usp=sharing"",""งบพรบ!DL48"")"),0)</f>
        <v>0</v>
      </c>
      <c r="M285" s="93">
        <f ca="1">IFERROR(__xludf.DUMMYFUNCTION("IMPORTRANGE(""https://docs.google.com/spreadsheets/d/1MeEWN-I1oV_STSDYn1IFDPWt_1FKiwhDph83XaGc0o0/edit?usp=sharing"",""งบพรบ!DO48"")"),0)</f>
        <v>0</v>
      </c>
      <c r="N285" s="93">
        <f ca="1">IFERROR(__xludf.DUMMYFUNCTION("IMPORTRANGE(""https://docs.google.com/spreadsheets/d/1MeEWN-I1oV_STSDYn1IFDPWt_1FKiwhDph83XaGc0o0/edit?usp=sharing"",""งบพรบ!DQ48"")"),0)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IFERROR(__xludf.DUMMYFUNCTION("IMPORTRANGE(""https://docs.google.com/spreadsheets/d/1QqKyyYR6Q21VydFLVH3TRQUabQu_ym0Zz7PgGX0-kHA/edit?usp=sharing"",""แผน!EC48"")"),300)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IFERROR(__xludf.DUMMYFUNCTION("IMPORTRANGE(""https://docs.google.com/spreadsheets/d/1QqKyyYR6Q21VydFLVH3TRQUabQu_ym0Zz7PgGX0-kHA/edit?usp=sharing"",""แผน!EB48"")"),30)</f>
        <v>30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IFERROR(__xludf.DUMMYFUNCTION("IMPORTRANGE(""https://docs.google.com/spreadsheets/d/1QqKyyYR6Q21VydFLVH3TRQUabQu_ym0Zz7PgGX0-kHA/edit?usp=sharing"",""แผน!EB48"")"),30)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IFERROR(__xludf.DUMMYFUNCTION("IMPORTRANGE(""https://docs.google.com/spreadsheets/d/1QqKyyYR6Q21VydFLVH3TRQUabQu_ym0Zz7PgGX0-kHA/edit?usp=sharing"",""แผน!EB48"")"),30)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IFERROR(__xludf.DUMMYFUNCTION("IMPORTRANGE(""https://docs.google.com/spreadsheets/d/1QqKyyYR6Q21VydFLVH3TRQUabQu_ym0Zz7PgGX0-kHA/edit?usp=sharing"",""แผน!EB48"")"),30)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IFERROR(__xludf.DUMMYFUNCTION("IMPORTRANGE(""https://docs.google.com/spreadsheets/d/1QqKyyYR6Q21VydFLVH3TRQUabQu_ym0Zz7PgGX0-kHA/edit?usp=sharing"",""แผน!EB48"")"),30)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IFERROR(__xludf.DUMMYFUNCTION("IMPORTRANGE(""https://docs.google.com/spreadsheets/d/1MeEWN-I1oV_STSDYn1IFDPWt_1FKiwhDph83XaGc0o0/edit?usp=sharing"",""งบพรบ!DS48"")"),0)</f>
        <v>0</v>
      </c>
      <c r="M303" s="93">
        <f ca="1">IFERROR(__xludf.DUMMYFUNCTION("IMPORTRANGE(""https://docs.google.com/spreadsheets/d/1MeEWN-I1oV_STSDYn1IFDPWt_1FKiwhDph83XaGc0o0/edit?usp=sharing"",""งบพรบ!DX48"")"),0)</f>
        <v>0</v>
      </c>
      <c r="N303" s="93">
        <f ca="1">IFERROR(__xludf.DUMMYFUNCTION("IMPORTRANGE(""https://docs.google.com/spreadsheets/d/1MeEWN-I1oV_STSDYn1IFDPWt_1FKiwhDph83XaGc0o0/edit?usp=sharing"",""งบพรบ!DZ48"")"),0)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IFERROR(__xludf.DUMMYFUNCTION("IMPORTRANGE(""https://docs.google.com/spreadsheets/d/1MeEWN-I1oV_STSDYn1IFDPWt_1FKiwhDph83XaGc0o0/edit?usp=sharing"",""งบพรบ!DV48"")"),0)</f>
        <v>0</v>
      </c>
      <c r="M306" s="93">
        <f ca="1">IFERROR(__xludf.DUMMYFUNCTION("IMPORTRANGE(""https://docs.google.com/spreadsheets/d/1MeEWN-I1oV_STSDYn1IFDPWt_1FKiwhDph83XaGc0o0/edit?usp=sharing"",""งบพรบ!DY48"")"),0)</f>
        <v>0</v>
      </c>
      <c r="N306" s="93">
        <f ca="1">IFERROR(__xludf.DUMMYFUNCTION("IMPORTRANGE(""https://docs.google.com/spreadsheets/d/1MeEWN-I1oV_STSDYn1IFDPWt_1FKiwhDph83XaGc0o0/edit?usp=sharing"",""งบพรบ!EA48"")"),0)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IFERROR(__xludf.DUMMYFUNCTION("IMPORTRANGE(""https://docs.google.com/spreadsheets/d/1MeEWN-I1oV_STSDYn1IFDPWt_1FKiwhDph83XaGc0o0/edit?usp=sharing"",""งบพรบ!EC48"")"),0)</f>
        <v>0</v>
      </c>
      <c r="M320" s="93">
        <f ca="1">IFERROR(__xludf.DUMMYFUNCTION("IMPORTRANGE(""https://docs.google.com/spreadsheets/d/1MeEWN-I1oV_STSDYn1IFDPWt_1FKiwhDph83XaGc0o0/edit?usp=sharing"",""งบพรบ!EH48"")"),0)</f>
        <v>0</v>
      </c>
      <c r="N320" s="93">
        <f ca="1">IFERROR(__xludf.DUMMYFUNCTION("IMPORTRANGE(""https://docs.google.com/spreadsheets/d/1MeEWN-I1oV_STSDYn1IFDPWt_1FKiwhDph83XaGc0o0/edit?usp=sharing"",""งบพรบ!EJ48"")"),0)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IFERROR(__xludf.DUMMYFUNCTION("IMPORTRANGE(""https://docs.google.com/spreadsheets/d/1MeEWN-I1oV_STSDYn1IFDPWt_1FKiwhDph83XaGc0o0/edit?usp=sharing"",""งบพรบ!EF48"")"),0)</f>
        <v>0</v>
      </c>
      <c r="M323" s="93">
        <f ca="1">IFERROR(__xludf.DUMMYFUNCTION("IMPORTRANGE(""https://docs.google.com/spreadsheets/d/1MeEWN-I1oV_STSDYn1IFDPWt_1FKiwhDph83XaGc0o0/edit?usp=sharing"",""งบพรบ!EI48"")"),0)</f>
        <v>0</v>
      </c>
      <c r="N323" s="93">
        <f ca="1">IFERROR(__xludf.DUMMYFUNCTION("IMPORTRANGE(""https://docs.google.com/spreadsheets/d/1MeEWN-I1oV_STSDYn1IFDPWt_1FKiwhDph83XaGc0o0/edit?usp=sharing"",""งบพรบ!EK48"")"),0)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IFERROR(__xludf.DUMMYFUNCTION("IMPORTRANGE(""https://docs.google.com/spreadsheets/d/1QqKyyYR6Q21VydFLVH3TRQUabQu_ym0Zz7PgGX0-kHA/edit?usp=sharing"",""แผน!EG48"")"),4600)</f>
        <v>4600</v>
      </c>
      <c r="J327" s="444">
        <f ca="1">J338+J341+J342+J343</f>
        <v>4390</v>
      </c>
      <c r="K327" s="445">
        <f ca="1">IF(I327&gt;0,J327*100/I327,0)</f>
        <v>95.434782608695656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175000</v>
      </c>
      <c r="M328" s="155">
        <f t="shared" ca="1" si="149"/>
        <v>133750</v>
      </c>
      <c r="N328" s="155">
        <f t="shared" ca="1" si="149"/>
        <v>69033.33</v>
      </c>
      <c r="O328" s="155">
        <f t="shared" ref="O328:O336" ca="1" si="150">IF(L328&gt;0,N328*100/L328,0)</f>
        <v>39.44761714285714</v>
      </c>
      <c r="P328" s="155">
        <f t="shared" ref="P328:P336" ca="1" si="151">IF(M328&gt;0,N328*100/M328,0)</f>
        <v>51.6137046728972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175000</v>
      </c>
      <c r="M330" s="93">
        <f t="shared" ca="1" si="152"/>
        <v>133750</v>
      </c>
      <c r="N330" s="93">
        <f t="shared" ca="1" si="152"/>
        <v>69033.33</v>
      </c>
      <c r="O330" s="93">
        <f t="shared" ca="1" si="150"/>
        <v>39.44761714285714</v>
      </c>
      <c r="P330" s="93">
        <f t="shared" ca="1" si="151"/>
        <v>51.6137046728972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175000</v>
      </c>
      <c r="M331" s="497">
        <f t="shared" ca="1" si="153"/>
        <v>133750</v>
      </c>
      <c r="N331" s="497">
        <f t="shared" ca="1" si="153"/>
        <v>69033.33</v>
      </c>
      <c r="O331" s="497">
        <f t="shared" ca="1" si="150"/>
        <v>39.44761714285714</v>
      </c>
      <c r="P331" s="497">
        <f t="shared" ca="1" si="151"/>
        <v>51.6137046728972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IFERROR(__xludf.DUMMYFUNCTION("IMPORTRANGE(""https://docs.google.com/spreadsheets/d/1MeEWN-I1oV_STSDYn1IFDPWt_1FKiwhDph83XaGc0o0/edit?usp=sharing"",""งบพรบ!EM48"")"),175000)</f>
        <v>175000</v>
      </c>
      <c r="M333" s="93">
        <f ca="1">IFERROR(__xludf.DUMMYFUNCTION("IMPORTRANGE(""https://docs.google.com/spreadsheets/d/1MeEWN-I1oV_STSDYn1IFDPWt_1FKiwhDph83XaGc0o0/edit?usp=sharing"",""งบพรบ!ER48"")"),133750)</f>
        <v>133750</v>
      </c>
      <c r="N333" s="93">
        <f ca="1">IFERROR(__xludf.DUMMYFUNCTION("IMPORTRANGE(""https://docs.google.com/spreadsheets/d/1MeEWN-I1oV_STSDYn1IFDPWt_1FKiwhDph83XaGc0o0/edit?usp=sharing"",""งบพรบ!ET48"")"),69033.33)</f>
        <v>69033.33</v>
      </c>
      <c r="O333" s="93">
        <f t="shared" ca="1" si="150"/>
        <v>39.44761714285714</v>
      </c>
      <c r="P333" s="93">
        <f t="shared" ca="1" si="151"/>
        <v>51.6137046728972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IFERROR(__xludf.DUMMYFUNCTION("IMPORTRANGE(""https://docs.google.com/spreadsheets/d/1MeEWN-I1oV_STSDYn1IFDPWt_1FKiwhDph83XaGc0o0/edit?usp=sharing"",""งบพรบ!EP48"")"),0)</f>
        <v>0</v>
      </c>
      <c r="M336" s="93">
        <f ca="1">IFERROR(__xludf.DUMMYFUNCTION("IMPORTRANGE(""https://docs.google.com/spreadsheets/d/1MeEWN-I1oV_STSDYn1IFDPWt_1FKiwhDph83XaGc0o0/edit?usp=sharing"",""งบพรบ!ES48"")"),0)</f>
        <v>0</v>
      </c>
      <c r="N336" s="93">
        <f ca="1">IFERROR(__xludf.DUMMYFUNCTION("IMPORTRANGE(""https://docs.google.com/spreadsheets/d/1MeEWN-I1oV_STSDYn1IFDPWt_1FKiwhDph83XaGc0o0/edit?usp=sharing"",""งบพรบ!EU48"")"),0)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IFERROR(__xludf.DUMMYFUNCTION("IMPORTRANGE(""https://docs.google.com/spreadsheets/d/1QqKyyYR6Q21VydFLVH3TRQUabQu_ym0Zz7PgGX0-kHA/edit?usp=sharing"",""แผน!EG48"")"),4600)</f>
        <v>4600</v>
      </c>
      <c r="J338" s="270">
        <f ca="1">IFERROR(__xludf.DUMMYFUNCTION("IMPORTRANGE(""https://docs.google.com/spreadsheets/d/1kVcqe37tkHyjCSG3S0O1AXqVkqjo8mSIZil3BcpIysc/edit?usp=sharing"",""ศูนย์!D48"")"),3992)</f>
        <v>3992</v>
      </c>
      <c r="K338" s="497">
        <f ca="1">IF(I338&gt;0,J338*100/I338,0)</f>
        <v>86.782608695652172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IFERROR(__xludf.DUMMYFUNCTION("IMPORTRANGE(""https://docs.google.com/spreadsheets/d/1QqKyyYR6Q21VydFLVH3TRQUabQu_ym0Zz7PgGX0-kHA/edit?usp=sharing"",""แผน!EH48"")"),6)</f>
        <v>6</v>
      </c>
      <c r="J340" s="270">
        <f ca="1">IFERROR(__xludf.DUMMYFUNCTION("IMPORTRANGE(""https://docs.google.com/spreadsheets/d/1kVcqe37tkHyjCSG3S0O1AXqVkqjo8mSIZil3BcpIysc/edit?usp=sharing"",""ศูนย์!E48"")"),5)</f>
        <v>5</v>
      </c>
      <c r="K340" s="497">
        <f ca="1">IF(I340&gt;0,J340*100/I340,0)</f>
        <v>83.333333333333329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IFERROR(__xludf.DUMMYFUNCTION("IMPORTRANGE(""https://docs.google.com/spreadsheets/d/1kVcqe37tkHyjCSG3S0O1AXqVkqjo8mSIZil3BcpIysc/edit?usp=sharing"",""ศูนย์!F48"")"),398)</f>
        <v>398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1121060</v>
      </c>
      <c r="M345" s="155">
        <f t="shared" ca="1" si="155"/>
        <v>852200</v>
      </c>
      <c r="N345" s="155">
        <f t="shared" ca="1" si="155"/>
        <v>680352.3</v>
      </c>
      <c r="O345" s="155">
        <f t="shared" ref="O345:O353" ca="1" si="156">IF(L345&gt;0,N345*100/L345,0)</f>
        <v>60.688303926640856</v>
      </c>
      <c r="P345" s="155">
        <f t="shared" ref="P345:P353" ca="1" si="157">IF(M345&gt;0,N345*100/M345,0)</f>
        <v>79.834815770945781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1121060</v>
      </c>
      <c r="M347" s="93">
        <f t="shared" ca="1" si="158"/>
        <v>852200</v>
      </c>
      <c r="N347" s="93">
        <f t="shared" ca="1" si="158"/>
        <v>680352.3</v>
      </c>
      <c r="O347" s="93">
        <f t="shared" ca="1" si="156"/>
        <v>60.688303926640856</v>
      </c>
      <c r="P347" s="93">
        <f t="shared" ca="1" si="157"/>
        <v>79.834815770945781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1061060</v>
      </c>
      <c r="M348" s="497">
        <f t="shared" ca="1" si="159"/>
        <v>792200</v>
      </c>
      <c r="N348" s="497">
        <f t="shared" ca="1" si="159"/>
        <v>620352.30000000005</v>
      </c>
      <c r="O348" s="497">
        <f t="shared" ca="1" si="156"/>
        <v>58.46533655024222</v>
      </c>
      <c r="P348" s="497">
        <f t="shared" ca="1" si="157"/>
        <v>78.307535975763699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IFERROR(__xludf.DUMMYFUNCTION("IMPORTRANGE(""https://docs.google.com/spreadsheets/d/1MeEWN-I1oV_STSDYn1IFDPWt_1FKiwhDph83XaGc0o0/edit?usp=sharing"",""งบพรบ!EW48"")"),1061060)</f>
        <v>1061060</v>
      </c>
      <c r="M350" s="93">
        <f ca="1">IFERROR(__xludf.DUMMYFUNCTION("IMPORTRANGE(""https://docs.google.com/spreadsheets/d/1MeEWN-I1oV_STSDYn1IFDPWt_1FKiwhDph83XaGc0o0/edit?usp=sharing"",""งบพรบ!FB48"")"),792200)</f>
        <v>792200</v>
      </c>
      <c r="N350" s="93">
        <f ca="1">IFERROR(__xludf.DUMMYFUNCTION("IMPORTRANGE(""https://docs.google.com/spreadsheets/d/1MeEWN-I1oV_STSDYn1IFDPWt_1FKiwhDph83XaGc0o0/edit?usp=sharing"",""งบพรบ!FD48"")"),620352.3)</f>
        <v>620352.30000000005</v>
      </c>
      <c r="O350" s="93">
        <f t="shared" ca="1" si="156"/>
        <v>58.46533655024222</v>
      </c>
      <c r="P350" s="93">
        <f t="shared" ca="1" si="157"/>
        <v>78.307535975763699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IFERROR(__xludf.DUMMYFUNCTION("IMPORTRANGE(""https://docs.google.com/spreadsheets/d/1MeEWN-I1oV_STSDYn1IFDPWt_1FKiwhDph83XaGc0o0/edit?usp=sharing"",""งบพรบ!EZ48"")"),60000)</f>
        <v>60000</v>
      </c>
      <c r="M353" s="93">
        <f ca="1">IFERROR(__xludf.DUMMYFUNCTION("IMPORTRANGE(""https://docs.google.com/spreadsheets/d/1MeEWN-I1oV_STSDYn1IFDPWt_1FKiwhDph83XaGc0o0/edit?usp=sharing"",""งบพรบ!FC48"")"),60000)</f>
        <v>60000</v>
      </c>
      <c r="N353" s="93">
        <f ca="1">IFERROR(__xludf.DUMMYFUNCTION("IMPORTRANGE(""https://docs.google.com/spreadsheets/d/1MeEWN-I1oV_STSDYn1IFDPWt_1FKiwhDph83XaGc0o0/edit?usp=sharing"",""งบพรบ!FE48"")"),60000)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IFERROR(__xludf.DUMMYFUNCTION("IMPORTRANGE(""https://docs.google.com/spreadsheets/d/1QqKyyYR6Q21VydFLVH3TRQUabQu_ym0Zz7PgGX0-kHA/edit?usp=sharing"",""แผน!EP48"")"),440)</f>
        <v>440</v>
      </c>
      <c r="J355" s="464">
        <f ca="1">J362</f>
        <v>158</v>
      </c>
      <c r="K355" s="465">
        <f ca="1">IF(I355&gt;0,J355*100/I355,0)</f>
        <v>35.909090909090907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IFERROR(__xludf.DUMMYFUNCTION("IMPORTRANGE(""https://docs.google.com/spreadsheets/d/1XWAQStnk-4SwqDmLtmXYiTMKHgktTP8We1SCoS47DrQ/edit?usp=sharing"",""จัดที่ดิน!W48"")"),214)</f>
        <v>214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IFERROR(__xludf.DUMMYFUNCTION("IMPORTRANGE(""https://docs.google.com/spreadsheets/d/1QqKyyYR6Q21VydFLVH3TRQUabQu_ym0Zz7PgGX0-kHA/edit?usp=sharing"",""แผน!EO48"")"),4500)</f>
        <v>4500</v>
      </c>
      <c r="J359" s="270">
        <f ca="1">IFERROR(__xludf.DUMMYFUNCTION("IMPORTRANGE(""https://docs.google.com/spreadsheets/d/1XWAQStnk-4SwqDmLtmXYiTMKHgktTP8We1SCoS47DrQ/edit?usp=sharing"",""จัดที่ดิน!X48"")"),2028.17)</f>
        <v>2028.17</v>
      </c>
      <c r="K359" s="497">
        <f t="shared" ca="1" si="161"/>
        <v>45.070444444444448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IFERROR(__xludf.DUMMYFUNCTION("IMPORTRANGE(""https://docs.google.com/spreadsheets/d/1QqKyyYR6Q21VydFLVH3TRQUabQu_ym0Zz7PgGX0-kHA/edit?usp=sharing"",""แผน!EP48"")"),440)</f>
        <v>440</v>
      </c>
      <c r="J360" s="270">
        <f ca="1">IFERROR(__xludf.DUMMYFUNCTION("IMPORTRANGE(""https://docs.google.com/spreadsheets/d/1XWAQStnk-4SwqDmLtmXYiTMKHgktTP8We1SCoS47DrQ/edit?usp=sharing"",""จัดที่ดิน!Y48"")"),158)</f>
        <v>158</v>
      </c>
      <c r="K360" s="497">
        <f t="shared" ca="1" si="161"/>
        <v>35.909090909090907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IFERROR(__xludf.DUMMYFUNCTION("IMPORTRANGE(""https://docs.google.com/spreadsheets/d/1XWAQStnk-4SwqDmLtmXYiTMKHgktTP8We1SCoS47DrQ/edit?usp=sharing"",""จัดที่ดิน!Z48"")"),1684.1)</f>
        <v>1684.1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IFERROR(__xludf.DUMMYFUNCTION("IMPORTRANGE(""https://docs.google.com/spreadsheets/d/1QqKyyYR6Q21VydFLVH3TRQUabQu_ym0Zz7PgGX0-kHA/edit?usp=sharing"",""แผน!EP48"")"),440)</f>
        <v>440</v>
      </c>
      <c r="J362" s="270">
        <f ca="1">IFERROR(__xludf.DUMMYFUNCTION("IMPORTRANGE(""https://docs.google.com/spreadsheets/d/1XWAQStnk-4SwqDmLtmXYiTMKHgktTP8We1SCoS47DrQ/edit?usp=sharing"",""จัดที่ดิน!AA48"")"),158)</f>
        <v>158</v>
      </c>
      <c r="K362" s="497">
        <f t="shared" ca="1" si="161"/>
        <v>35.909090909090907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IFERROR(__xludf.DUMMYFUNCTION("IMPORTRANGE(""https://docs.google.com/spreadsheets/d/1XWAQStnk-4SwqDmLtmXYiTMKHgktTP8We1SCoS47DrQ/edit?usp=sharing"",""จัดที่ดิน!AB48"")"),1684.1)</f>
        <v>1684.1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560</v>
      </c>
      <c r="J364" s="478">
        <f t="shared" ca="1" si="162"/>
        <v>245</v>
      </c>
      <c r="K364" s="479">
        <f t="shared" ca="1" si="161"/>
        <v>43.75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IFERROR(__xludf.DUMMYFUNCTION("IMPORTRANGE(""https://docs.google.com/spreadsheets/d/1QqKyyYR6Q21VydFLVH3TRQUabQu_ym0Zz7PgGX0-kHA/edit?usp=sharing"",""แผน!EJ48"")"),40)</f>
        <v>40</v>
      </c>
      <c r="J365" s="490">
        <f ca="1">J372</f>
        <v>16</v>
      </c>
      <c r="K365" s="491">
        <f t="shared" ca="1" si="161"/>
        <v>40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IFERROR(__xludf.DUMMYFUNCTION("IMPORTRANGE(""https://docs.google.com/spreadsheets/d/1XWAQStnk-4SwqDmLtmXYiTMKHgktTP8We1SCoS47DrQ/edit?usp=sharing"",""จัดที่ดิน!E48"")"),72)</f>
        <v>72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IFERROR(__xludf.DUMMYFUNCTION("IMPORTRANGE(""https://docs.google.com/spreadsheets/d/1QqKyyYR6Q21VydFLVH3TRQUabQu_ym0Zz7PgGX0-kHA/edit?usp=sharing"",""แผน!EI48"")"),500)</f>
        <v>500</v>
      </c>
      <c r="J369" s="270">
        <f ca="1">IFERROR(__xludf.DUMMYFUNCTION("IMPORTRANGE(""https://docs.google.com/spreadsheets/d/1XWAQStnk-4SwqDmLtmXYiTMKHgktTP8We1SCoS47DrQ/edit?usp=sharing"",""จัดที่ดิน!F48"")"),544.64)</f>
        <v>544.64</v>
      </c>
      <c r="K369" s="497">
        <f t="shared" ca="1" si="163"/>
        <v>108.928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IFERROR(__xludf.DUMMYFUNCTION("IMPORTRANGE(""https://docs.google.com/spreadsheets/d/1QqKyyYR6Q21VydFLVH3TRQUabQu_ym0Zz7PgGX0-kHA/edit?usp=sharing"",""แผน!EJ48"")"),40)</f>
        <v>40</v>
      </c>
      <c r="J370" s="270">
        <f ca="1">IFERROR(__xludf.DUMMYFUNCTION("IMPORTRANGE(""https://docs.google.com/spreadsheets/d/1XWAQStnk-4SwqDmLtmXYiTMKHgktTP8We1SCoS47DrQ/edit?usp=sharing"",""จัดที่ดิน!G48"")"),16)</f>
        <v>16</v>
      </c>
      <c r="K370" s="497">
        <f t="shared" ca="1" si="163"/>
        <v>40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IFERROR(__xludf.DUMMYFUNCTION("IMPORTRANGE(""https://docs.google.com/spreadsheets/d/1XWAQStnk-4SwqDmLtmXYiTMKHgktTP8We1SCoS47DrQ/edit?usp=sharing"",""จัดที่ดิน!H48"")"),200.57)</f>
        <v>200.57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IFERROR(__xludf.DUMMYFUNCTION("IMPORTRANGE(""https://docs.google.com/spreadsheets/d/1QqKyyYR6Q21VydFLVH3TRQUabQu_ym0Zz7PgGX0-kHA/edit?usp=sharing"",""แผน!EJ48"")"),40)</f>
        <v>40</v>
      </c>
      <c r="J372" s="270">
        <f ca="1">IFERROR(__xludf.DUMMYFUNCTION("IMPORTRANGE(""https://docs.google.com/spreadsheets/d/1XWAQStnk-4SwqDmLtmXYiTMKHgktTP8We1SCoS47DrQ/edit?usp=sharing"",""จัดที่ดิน!I48"")"),16)</f>
        <v>16</v>
      </c>
      <c r="K372" s="497">
        <f t="shared" ca="1" si="163"/>
        <v>40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IFERROR(__xludf.DUMMYFUNCTION("IMPORTRANGE(""https://docs.google.com/spreadsheets/d/1XWAQStnk-4SwqDmLtmXYiTMKHgktTP8We1SCoS47DrQ/edit?usp=sharing"",""จัดที่ดิน!J48"")"),200.57)</f>
        <v>200.57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IFERROR(__xludf.DUMMYFUNCTION("IMPORTRANGE(""https://docs.google.com/spreadsheets/d/1QqKyyYR6Q21VydFLVH3TRQUabQu_ym0Zz7PgGX0-kHA/edit?usp=sharing"",""แผน!EU48"")"),520)</f>
        <v>520</v>
      </c>
      <c r="J374" s="490">
        <f ca="1">J381</f>
        <v>229</v>
      </c>
      <c r="K374" s="491">
        <f t="shared" ca="1" si="163"/>
        <v>44.03846153846154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IFERROR(__xludf.DUMMYFUNCTION("IMPORTRANGE(""https://docs.google.com/spreadsheets/d/1XWAQStnk-4SwqDmLtmXYiTMKHgktTP8We1SCoS47DrQ/edit?usp=sharing"",""จัดที่ดิน!AH48"")"),142)</f>
        <v>142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IFERROR(__xludf.DUMMYFUNCTION("IMPORTRANGE(""https://docs.google.com/spreadsheets/d/1QqKyyYR6Q21VydFLVH3TRQUabQu_ym0Zz7PgGX0-kHA/edit?usp=sharing"",""แผน!ET48"")"),4000)</f>
        <v>4000</v>
      </c>
      <c r="J378" s="270">
        <f ca="1">IFERROR(__xludf.DUMMYFUNCTION("IMPORTRANGE(""https://docs.google.com/spreadsheets/d/1XWAQStnk-4SwqDmLtmXYiTMKHgktTP8We1SCoS47DrQ/edit?usp=sharing"",""จัดที่ดิน!AI48"")"),1483.53)</f>
        <v>1483.53</v>
      </c>
      <c r="K378" s="497">
        <f t="shared" ca="1" si="164"/>
        <v>37.088250000000002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IFERROR(__xludf.DUMMYFUNCTION("IMPORTRANGE(""https://docs.google.com/spreadsheets/d/1QqKyyYR6Q21VydFLVH3TRQUabQu_ym0Zz7PgGX0-kHA/edit?usp=sharing"",""แผน!EU48"")"),520)</f>
        <v>520</v>
      </c>
      <c r="J379" s="270">
        <f ca="1">IFERROR(__xludf.DUMMYFUNCTION("IMPORTRANGE(""https://docs.google.com/spreadsheets/d/1XWAQStnk-4SwqDmLtmXYiTMKHgktTP8We1SCoS47DrQ/edit?usp=sharing"",""จัดที่ดิน!AJ48"")"),229)</f>
        <v>229</v>
      </c>
      <c r="K379" s="497">
        <f t="shared" ca="1" si="164"/>
        <v>44.03846153846154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IFERROR(__xludf.DUMMYFUNCTION("IMPORTRANGE(""https://docs.google.com/spreadsheets/d/1XWAQStnk-4SwqDmLtmXYiTMKHgktTP8We1SCoS47DrQ/edit?usp=sharing"",""จัดที่ดิน!AK48"")"),2724.91)</f>
        <v>2724.91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IFERROR(__xludf.DUMMYFUNCTION("IMPORTRANGE(""https://docs.google.com/spreadsheets/d/1QqKyyYR6Q21VydFLVH3TRQUabQu_ym0Zz7PgGX0-kHA/edit?usp=sharing"",""แผน!EU48"")"),520)</f>
        <v>520</v>
      </c>
      <c r="J381" s="270">
        <f ca="1">IFERROR(__xludf.DUMMYFUNCTION("IMPORTRANGE(""https://docs.google.com/spreadsheets/d/1XWAQStnk-4SwqDmLtmXYiTMKHgktTP8We1SCoS47DrQ/edit?usp=sharing"",""จัดที่ดิน!AL48"")"),229)</f>
        <v>229</v>
      </c>
      <c r="K381" s="497">
        <f t="shared" ca="1" si="164"/>
        <v>44.03846153846154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IFERROR(__xludf.DUMMYFUNCTION("IMPORTRANGE(""https://docs.google.com/spreadsheets/d/1XWAQStnk-4SwqDmLtmXYiTMKHgktTP8We1SCoS47DrQ/edit?usp=sharing"",""จัดที่ดิน!AM48"")"),2724.91)</f>
        <v>2724.91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IFERROR(__xludf.DUMMYFUNCTION("IMPORTRANGE(""https://docs.google.com/spreadsheets/d/1QqKyyYR6Q21VydFLVH3TRQUabQu_ym0Zz7PgGX0-kHA/edit?usp=sharing"",""แผน!EW48"")"),30)</f>
        <v>30</v>
      </c>
      <c r="J385" s="504">
        <f ca="1">IFERROR(__xludf.DUMMYFUNCTION("IMPORTRANGE(""https://docs.google.com/spreadsheets/d/1XWAQStnk-4SwqDmLtmXYiTMKHgktTP8We1SCoS47DrQ/edit?usp=sharing"",""จัดที่ดิน!AP48"")"),18)</f>
        <v>18</v>
      </c>
      <c r="K385" s="505">
        <f ca="1">IF(I385&gt;0,J385*100/I385,0)</f>
        <v>60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IFERROR(__xludf.DUMMYFUNCTION("IMPORTRANGE(""https://docs.google.com/spreadsheets/d/1MeEWN-I1oV_STSDYn1IFDPWt_1FKiwhDph83XaGc0o0/edit?usp=sharing"",""งบพรบ!FG48"")"),0)</f>
        <v>0</v>
      </c>
      <c r="M394" s="93">
        <f ca="1">IFERROR(__xludf.DUMMYFUNCTION("IMPORTRANGE(""https://docs.google.com/spreadsheets/d/1MeEWN-I1oV_STSDYn1IFDPWt_1FKiwhDph83XaGc0o0/edit?usp=sharing"",""งบพรบ!FL48"")"),0)</f>
        <v>0</v>
      </c>
      <c r="N394" s="93">
        <f ca="1">IFERROR(__xludf.DUMMYFUNCTION("IMPORTRANGE(""https://docs.google.com/spreadsheets/d/1MeEWN-I1oV_STSDYn1IFDPWt_1FKiwhDph83XaGc0o0/edit?usp=sharing"",""งบพรบ!FN48"")"),0)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IFERROR(__xludf.DUMMYFUNCTION("IMPORTRANGE(""https://docs.google.com/spreadsheets/d/1MeEWN-I1oV_STSDYn1IFDPWt_1FKiwhDph83XaGc0o0/edit?usp=sharing"",""งบพรบ!FJ48"")"),0)</f>
        <v>0</v>
      </c>
      <c r="M397" s="93">
        <f ca="1">IFERROR(__xludf.DUMMYFUNCTION("IMPORTRANGE(""https://docs.google.com/spreadsheets/d/1MeEWN-I1oV_STSDYn1IFDPWt_1FKiwhDph83XaGc0o0/edit?usp=sharing"",""งบพรบ!FM48"")"),0)</f>
        <v>0</v>
      </c>
      <c r="N397" s="93">
        <f ca="1">IFERROR(__xludf.DUMMYFUNCTION("IMPORTRANGE(""https://docs.google.com/spreadsheets/d/1MeEWN-I1oV_STSDYn1IFDPWt_1FKiwhDph83XaGc0o0/edit?usp=sharing"",""งบพรบ!FO48"")"),0)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IFERROR(__xludf.DUMMYFUNCTION("IMPORTRANGE(""https://docs.google.com/spreadsheets/d/1MeEWN-I1oV_STSDYn1IFDPWt_1FKiwhDph83XaGc0o0/edit?usp=sharing"",""งบพรบ!FQ48"")"),0)</f>
        <v>0</v>
      </c>
      <c r="M407" s="93">
        <f ca="1">IFERROR(__xludf.DUMMYFUNCTION("IMPORTRANGE(""https://docs.google.com/spreadsheets/d/1MeEWN-I1oV_STSDYn1IFDPWt_1FKiwhDph83XaGc0o0/edit?usp=sharing"",""งบพรบ!FV48"")"),0)</f>
        <v>0</v>
      </c>
      <c r="N407" s="93">
        <f ca="1">IFERROR(__xludf.DUMMYFUNCTION("IMPORTRANGE(""https://docs.google.com/spreadsheets/d/1MeEWN-I1oV_STSDYn1IFDPWt_1FKiwhDph83XaGc0o0/edit?usp=sharing"",""งบพรบ!FX48"")"),0)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IFERROR(__xludf.DUMMYFUNCTION("IMPORTRANGE(""https://docs.google.com/spreadsheets/d/1MeEWN-I1oV_STSDYn1IFDPWt_1FKiwhDph83XaGc0o0/edit?usp=sharing"",""งบพรบ!FT48"")"),0)</f>
        <v>0</v>
      </c>
      <c r="M410" s="93">
        <f ca="1">IFERROR(__xludf.DUMMYFUNCTION("IMPORTRANGE(""https://docs.google.com/spreadsheets/d/1MeEWN-I1oV_STSDYn1IFDPWt_1FKiwhDph83XaGc0o0/edit?usp=sharing"",""งบพรบ!FW48"")"),0)</f>
        <v>0</v>
      </c>
      <c r="N410" s="93">
        <f ca="1">IFERROR(__xludf.DUMMYFUNCTION("IMPORTRANGE(""https://docs.google.com/spreadsheets/d/1MeEWN-I1oV_STSDYn1IFDPWt_1FKiwhDph83XaGc0o0/edit?usp=sharing"",""งบพรบ!FY48"")"),0)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2876576</v>
      </c>
      <c r="M414" s="552">
        <f t="shared" ca="1" si="181"/>
        <v>2876576</v>
      </c>
      <c r="N414" s="552">
        <f t="shared" si="181"/>
        <v>1196280.51</v>
      </c>
      <c r="O414" s="552">
        <f ca="1">IF(L414&gt;0,N414*100/L414,0)</f>
        <v>41.586959982979764</v>
      </c>
      <c r="P414" s="552">
        <f ca="1">IF(M414&gt;0,N414*100/M414,0)</f>
        <v>41.586959982979764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55183</v>
      </c>
      <c r="O419" s="155">
        <f t="shared" ref="O419:O424" ca="1" si="185">IF(L419&gt;0,N419*100/L419,0)</f>
        <v>70.153826595474186</v>
      </c>
      <c r="P419" s="155">
        <f t="shared" ref="P419:P424" ca="1" si="186">IF(M419&gt;0,N419*100/M419,0)</f>
        <v>70.153826595474186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55183</v>
      </c>
      <c r="O421" s="93">
        <f t="shared" ca="1" si="185"/>
        <v>70.153826595474186</v>
      </c>
      <c r="P421" s="93">
        <f t="shared" ca="1" si="186"/>
        <v>70.153826595474186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55183</v>
      </c>
      <c r="O422" s="497">
        <f t="shared" ca="1" si="185"/>
        <v>70.153826595474186</v>
      </c>
      <c r="P422" s="497">
        <f t="shared" ca="1" si="186"/>
        <v>70.153826595474186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IFERROR(__xludf.DUMMYFUNCTION("IMPORTRANGE(""https://docs.google.com/spreadsheets/d/1QqKyyYR6Q21VydFLVH3TRQUabQu_ym0Zz7PgGX0-kHA/edit?usp=sharing"",""แผน!EY48"")"),78660)</f>
        <v>78660</v>
      </c>
      <c r="M424" s="93">
        <f ca="1">L424</f>
        <v>78660</v>
      </c>
      <c r="N424" s="93">
        <f>N425+N426+N427+N428</f>
        <v>55183</v>
      </c>
      <c r="O424" s="93">
        <f t="shared" ca="1" si="185"/>
        <v>70.153826595474186</v>
      </c>
      <c r="P424" s="93">
        <f t="shared" ca="1" si="186"/>
        <v>70.153826595474186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55183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460706</v>
      </c>
      <c r="M444" s="195">
        <f t="shared" ca="1" si="197"/>
        <v>460706</v>
      </c>
      <c r="N444" s="195">
        <f t="shared" si="197"/>
        <v>314945</v>
      </c>
      <c r="O444" s="195">
        <f t="shared" ref="O444:O449" ca="1" si="198">IF(L444&gt;0,N444*100/L444,0)</f>
        <v>68.361384483813978</v>
      </c>
      <c r="P444" s="195">
        <f t="shared" ref="P444:P449" ca="1" si="199">IF(M444&gt;0,N444*100/M444,0)</f>
        <v>68.361384483813978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460706</v>
      </c>
      <c r="M446" s="93">
        <f t="shared" ca="1" si="200"/>
        <v>460706</v>
      </c>
      <c r="N446" s="93">
        <f t="shared" si="200"/>
        <v>314945</v>
      </c>
      <c r="O446" s="93">
        <f t="shared" ca="1" si="198"/>
        <v>68.361384483813978</v>
      </c>
      <c r="P446" s="93">
        <f t="shared" ca="1" si="199"/>
        <v>68.361384483813978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460706</v>
      </c>
      <c r="M447" s="497">
        <f t="shared" ca="1" si="201"/>
        <v>460706</v>
      </c>
      <c r="N447" s="497">
        <f t="shared" si="201"/>
        <v>314945</v>
      </c>
      <c r="O447" s="497">
        <f t="shared" ca="1" si="198"/>
        <v>68.361384483813978</v>
      </c>
      <c r="P447" s="497">
        <f t="shared" ca="1" si="199"/>
        <v>68.361384483813978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IFERROR(__xludf.DUMMYFUNCTION("IMPORTRANGE(""https://docs.google.com/spreadsheets/d/1QqKyyYR6Q21VydFLVH3TRQUabQu_ym0Zz7PgGX0-kHA/edit?usp=sharing"",""แผน!FJ48"")"),460706)</f>
        <v>460706</v>
      </c>
      <c r="M449" s="93">
        <f ca="1">L449</f>
        <v>460706</v>
      </c>
      <c r="N449" s="93">
        <f>N450+N451+N452+N453</f>
        <v>314945</v>
      </c>
      <c r="O449" s="93">
        <f t="shared" ca="1" si="198"/>
        <v>68.361384483813978</v>
      </c>
      <c r="P449" s="93">
        <f t="shared" ca="1" si="199"/>
        <v>68.361384483813978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68150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157895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78000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10900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IFERROR(__xludf.DUMMYFUNCTION("IMPORTRANGE(""https://docs.google.com/spreadsheets/d/1QqKyyYR6Q21VydFLVH3TRQUabQu_ym0Zz7PgGX0-kHA/edit?usp=sharing"",""แผน!FN48"")"),50)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IFERROR(__xludf.DUMMYFUNCTION("IMPORTRANGE(""https://docs.google.com/spreadsheets/d/1QqKyyYR6Q21VydFLVH3TRQUabQu_ym0Zz7PgGX0-kHA/edit?usp=sharing"",""แผน!FO48"")"),150)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IFERROR(__xludf.DUMMYFUNCTION("IMPORTRANGE(""https://docs.google.com/spreadsheets/d/1QqKyyYR6Q21VydFLVH3TRQUabQu_ym0Zz7PgGX0-kHA/edit?usp=sharing"",""แผน!FO48"")"),150)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IFERROR(__xludf.DUMMYFUNCTION("IMPORTRANGE(""https://docs.google.com/spreadsheets/d/1QqKyyYR6Q21VydFLVH3TRQUabQu_ym0Zz7PgGX0-kHA/edit?usp=sharing"",""แผน!FN48"")"),50)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IFERROR(__xludf.DUMMYFUNCTION("IMPORTRANGE(""https://docs.google.com/spreadsheets/d/1QqKyyYR6Q21VydFLVH3TRQUabQu_ym0Zz7PgGX0-kHA/edit?usp=sharing"",""แผน!FW48"")"),1300)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273271</v>
      </c>
      <c r="O467" s="195">
        <f t="shared" ref="O467:O472" ca="1" si="207">IF(L467&gt;0,N467*100/L467,0)</f>
        <v>23.312500853090921</v>
      </c>
      <c r="P467" s="195">
        <f t="shared" ref="P467:P472" ca="1" si="208">IF(M467&gt;0,N467*100/M467,0)</f>
        <v>23.312500853090921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273271</v>
      </c>
      <c r="O469" s="93">
        <f t="shared" ca="1" si="207"/>
        <v>23.312500853090921</v>
      </c>
      <c r="P469" s="93">
        <f t="shared" ca="1" si="208"/>
        <v>23.312500853090921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273271</v>
      </c>
      <c r="O470" s="497">
        <f t="shared" ca="1" si="207"/>
        <v>23.312500853090921</v>
      </c>
      <c r="P470" s="497">
        <f t="shared" ca="1" si="208"/>
        <v>23.312500853090921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IFERROR(__xludf.DUMMYFUNCTION("IMPORTRANGE(""https://docs.google.com/spreadsheets/d/1QqKyyYR6Q21VydFLVH3TRQUabQu_ym0Zz7PgGX0-kHA/edit?usp=sharing"",""แผน!FS48"")"),1172208)</f>
        <v>1172208</v>
      </c>
      <c r="M472" s="93">
        <f ca="1">L472</f>
        <v>1172208</v>
      </c>
      <c r="N472" s="93">
        <f>N473+N474+N475+N476</f>
        <v>273271</v>
      </c>
      <c r="O472" s="93">
        <f t="shared" ca="1" si="207"/>
        <v>23.312500853090921</v>
      </c>
      <c r="P472" s="93">
        <f t="shared" ca="1" si="208"/>
        <v>23.312500853090921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165161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78000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30110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41140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514752</v>
      </c>
      <c r="M544" s="155">
        <f t="shared" ca="1" si="236"/>
        <v>514752</v>
      </c>
      <c r="N544" s="155">
        <f t="shared" si="236"/>
        <v>160079</v>
      </c>
      <c r="O544" s="155">
        <f t="shared" ref="O544:O549" ca="1" si="237">IF(L544&gt;0,N544*100/L544,0)</f>
        <v>31.098276451572797</v>
      </c>
      <c r="P544" s="155">
        <f t="shared" ref="P544:P549" ca="1" si="238">IF(M544&gt;0,N544*100/M544,0)</f>
        <v>31.098276451572797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514752</v>
      </c>
      <c r="M546" s="93">
        <f t="shared" ca="1" si="240"/>
        <v>514752</v>
      </c>
      <c r="N546" s="93">
        <f t="shared" si="240"/>
        <v>160079</v>
      </c>
      <c r="O546" s="93">
        <f t="shared" ca="1" si="237"/>
        <v>31.098276451572797</v>
      </c>
      <c r="P546" s="93">
        <f t="shared" ca="1" si="238"/>
        <v>31.098276451572797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514752</v>
      </c>
      <c r="M547" s="497">
        <f t="shared" ca="1" si="241"/>
        <v>514752</v>
      </c>
      <c r="N547" s="497">
        <f t="shared" si="241"/>
        <v>160079</v>
      </c>
      <c r="O547" s="497">
        <f t="shared" ca="1" si="237"/>
        <v>31.098276451572797</v>
      </c>
      <c r="P547" s="497">
        <f t="shared" ca="1" si="238"/>
        <v>31.098276451572797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IFERROR(__xludf.DUMMYFUNCTION("IMPORTRANGE(""https://docs.google.com/spreadsheets/d/1QqKyyYR6Q21VydFLVH3TRQUabQu_ym0Zz7PgGX0-kHA/edit?usp=sharing"",""แผน!HB48"")"),514752)</f>
        <v>514752</v>
      </c>
      <c r="M549" s="93">
        <f ca="1">L549</f>
        <v>514752</v>
      </c>
      <c r="N549" s="93">
        <f>N550+N551+N552+N553+N554</f>
        <v>160079</v>
      </c>
      <c r="O549" s="93">
        <f t="shared" ca="1" si="237"/>
        <v>31.098276451572797</v>
      </c>
      <c r="P549" s="93">
        <f t="shared" ca="1" si="238"/>
        <v>31.098276451572797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78000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82079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41140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IFERROR(__xludf.DUMMYFUNCTION("IMPORTRANGE(""https://docs.google.com/spreadsheets/d/1QqKyyYR6Q21VydFLVH3TRQUabQu_ym0Zz7PgGX0-kHA/edit?usp=sharing"",""แผน!HH48"")"),41140)</f>
        <v>41140</v>
      </c>
      <c r="J560" s="193">
        <f t="shared" ref="J560:J561" si="247">J562+J564+J566</f>
        <v>41143</v>
      </c>
      <c r="K560" s="411">
        <f t="shared" ca="1" si="246"/>
        <v>100.00729217306757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IFERROR(__xludf.DUMMYFUNCTION("IMPORTRANGE(""https://docs.google.com/spreadsheets/d/1QqKyyYR6Q21VydFLVH3TRQUabQu_ym0Zz7PgGX0-kHA/edit?usp=sharing"",""แผน!HG48"")"),4331)</f>
        <v>4331</v>
      </c>
      <c r="J561" s="193">
        <f t="shared" si="247"/>
        <v>4331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37156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4016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3123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234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IFERROR(__xludf.DUMMYFUNCTION("IMPORTRANGE(""https://docs.google.com/spreadsheets/d/1QqKyyYR6Q21VydFLVH3TRQUabQu_ym0Zz7PgGX0-kHA/edit?usp=sharing"",""แผน!HH48"")"),41140)</f>
        <v>41140</v>
      </c>
      <c r="J568" s="679">
        <f t="shared" ref="J568:J569" si="248">J570+J572+J574</f>
        <v>41143</v>
      </c>
      <c r="K568" s="411">
        <f t="shared" ref="K568:K569" ca="1" si="249">IF(I568&gt;0,J568*100/I568,0)</f>
        <v>100.00729217306757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IFERROR(__xludf.DUMMYFUNCTION("IMPORTRANGE(""https://docs.google.com/spreadsheets/d/1QqKyyYR6Q21VydFLVH3TRQUabQu_ym0Zz7PgGX0-kHA/edit?usp=sharing"",""แผน!HG48"")"),4331)</f>
        <v>4331</v>
      </c>
      <c r="J569" s="679">
        <f t="shared" si="248"/>
        <v>4331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38129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4080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2117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897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92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IFERROR(__xludf.DUMMYFUNCTION("IMPORTRANGE(""https://docs.google.com/spreadsheets/d/1QqKyyYR6Q21VydFLVH3TRQUabQu_ym0Zz7PgGX0-kHA/edit?usp=sharing"",""แผน!HH48"")"),41140)</f>
        <v>41140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IFERROR(__xludf.DUMMYFUNCTION("IMPORTRANGE(""https://docs.google.com/spreadsheets/d/1QqKyyYR6Q21VydFLVH3TRQUabQu_ym0Zz7PgGX0-kHA/edit?usp=sharing"",""แผน!HG48"")"),4331)</f>
        <v>4331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11282.62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IFERROR(__xludf.DUMMYFUNCTION("IMPORTRANGE(""https://docs.google.com/spreadsheets/d/1QqKyyYR6Q21VydFLVH3TRQUabQu_ym0Zz7PgGX0-kHA/edit?usp=sharing"",""แผน!HJ48"")"),11282.62)</f>
        <v>11282.62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IFERROR(__xludf.DUMMYFUNCTION("IMPORTRANGE(""https://docs.google.com/spreadsheets/d/1QqKyyYR6Q21VydFLVH3TRQUabQu_ym0Zz7PgGX0-kHA/edit?usp=sharing"",""แผน!HI48"")"),633)</f>
        <v>633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IFERROR(__xludf.DUMMYFUNCTION("IMPORTRANGE(""https://docs.google.com/spreadsheets/d/1QqKyyYR6Q21VydFLVH3TRQUabQu_ym0Zz7PgGX0-kHA/edit?usp=sharing"",""แผน!HL48"")"),44)</f>
        <v>44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IFERROR(__xludf.DUMMYFUNCTION("IMPORTRANGE(""https://docs.google.com/spreadsheets/d/1QqKyyYR6Q21VydFLVH3TRQUabQu_ym0Zz7PgGX0-kHA/edit?usp=sharing"",""แผน!HK48"")"),3)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130</v>
      </c>
      <c r="J628" s="739">
        <f t="shared" ca="1" si="262"/>
        <v>52</v>
      </c>
      <c r="K628" s="740">
        <f ca="1">IF(I628&gt;0,J628*100/I628,0)</f>
        <v>40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368210</v>
      </c>
      <c r="M629" s="195">
        <f t="shared" ca="1" si="263"/>
        <v>368210</v>
      </c>
      <c r="N629" s="195">
        <f t="shared" si="263"/>
        <v>198954.84</v>
      </c>
      <c r="O629" s="195">
        <f t="shared" ref="O629:O634" ca="1" si="264">IF(L629&gt;0,N629*100/L629,0)</f>
        <v>54.032981179218382</v>
      </c>
      <c r="P629" s="195">
        <f t="shared" ref="P629:P634" ca="1" si="265">IF(M629&gt;0,N629*100/M629,0)</f>
        <v>54.032981179218382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368210</v>
      </c>
      <c r="M631" s="93">
        <f t="shared" ca="1" si="266"/>
        <v>368210</v>
      </c>
      <c r="N631" s="93">
        <f t="shared" si="266"/>
        <v>198954.84</v>
      </c>
      <c r="O631" s="93">
        <f t="shared" ca="1" si="264"/>
        <v>54.032981179218382</v>
      </c>
      <c r="P631" s="93">
        <f t="shared" ca="1" si="265"/>
        <v>54.032981179218382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368210</v>
      </c>
      <c r="M632" s="497">
        <f t="shared" ca="1" si="267"/>
        <v>368210</v>
      </c>
      <c r="N632" s="497">
        <f t="shared" si="267"/>
        <v>198954.84</v>
      </c>
      <c r="O632" s="497">
        <f t="shared" ca="1" si="264"/>
        <v>54.032981179218382</v>
      </c>
      <c r="P632" s="497">
        <f t="shared" ca="1" si="265"/>
        <v>54.032981179218382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IFERROR(__xludf.DUMMYFUNCTION("IMPORTRANGE(""https://docs.google.com/spreadsheets/d/1QqKyyYR6Q21VydFLVH3TRQUabQu_ym0Zz7PgGX0-kHA/edit?usp=sharing"",""แผน!HN48"")"),368210)</f>
        <v>368210</v>
      </c>
      <c r="M634" s="93">
        <f ca="1">L634</f>
        <v>368210</v>
      </c>
      <c r="N634" s="93">
        <f>N635+N636+N637+N638</f>
        <v>198954.84</v>
      </c>
      <c r="O634" s="93">
        <f t="shared" ca="1" si="264"/>
        <v>54.032981179218382</v>
      </c>
      <c r="P634" s="93">
        <f t="shared" ca="1" si="265"/>
        <v>54.032981179218382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77133.34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121821.5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IFERROR(__xludf.DUMMYFUNCTION("IMPORTRANGE(""https://docs.google.com/spreadsheets/d/1XWAQStnk-4SwqDmLtmXYiTMKHgktTP8We1SCoS47DrQ/edit?usp=sharing"",""จัดที่ดิน!AS48"")"),155)</f>
        <v>155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IFERROR(__xludf.DUMMYFUNCTION("IMPORTRANGE(""https://docs.google.com/spreadsheets/d/1XWAQStnk-4SwqDmLtmXYiTMKHgktTP8We1SCoS47DrQ/edit?usp=sharing"",""จัดที่ดิน!AT48"")"),117.28)</f>
        <v>117.28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IFERROR(__xludf.DUMMYFUNCTION("IMPORTRANGE(""https://docs.google.com/spreadsheets/d/1QqKyyYR6Q21VydFLVH3TRQUabQu_ym0Zz7PgGX0-kHA/edit?usp=sharing"",""แผน!HS48"")"),130)</f>
        <v>130</v>
      </c>
      <c r="J647" s="270">
        <f ca="1">IFERROR(__xludf.DUMMYFUNCTION("IMPORTRANGE(""https://docs.google.com/spreadsheets/d/1XWAQStnk-4SwqDmLtmXYiTMKHgktTP8We1SCoS47DrQ/edit?usp=sharing"",""จัดที่ดิน!AU48"")"),137)</f>
        <v>137</v>
      </c>
      <c r="K647" s="163">
        <f t="shared" ca="1" si="271"/>
        <v>105.38461538461539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IFERROR(__xludf.DUMMYFUNCTION("IMPORTRANGE(""https://docs.google.com/spreadsheets/d/1XWAQStnk-4SwqDmLtmXYiTMKHgktTP8We1SCoS47DrQ/edit?usp=sharing"",""จัดที่ดิน!AV48"")"),101.65)</f>
        <v>101.65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IFERROR(__xludf.DUMMYFUNCTION("IMPORTRANGE(""https://docs.google.com/spreadsheets/d/1QqKyyYR6Q21VydFLVH3TRQUabQu_ym0Zz7PgGX0-kHA/edit?usp=sharing"",""แผน!HS48"")"),130)</f>
        <v>130</v>
      </c>
      <c r="J649" s="270">
        <f ca="1">IFERROR(__xludf.DUMMYFUNCTION("IMPORTRANGE(""https://docs.google.com/spreadsheets/d/1XWAQStnk-4SwqDmLtmXYiTMKHgktTP8We1SCoS47DrQ/edit?usp=sharing"",""จัดที่ดิน!AW48"")"),54)</f>
        <v>54</v>
      </c>
      <c r="K649" s="163">
        <f t="shared" ca="1" si="271"/>
        <v>41.53846153846154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IFERROR(__xludf.DUMMYFUNCTION("IMPORTRANGE(""https://docs.google.com/spreadsheets/d/1XWAQStnk-4SwqDmLtmXYiTMKHgktTP8We1SCoS47DrQ/edit?usp=sharing"",""จัดที่ดิน!AX48"")"),31.17)</f>
        <v>31.17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IFERROR(__xludf.DUMMYFUNCTION("IMPORTRANGE(""https://docs.google.com/spreadsheets/d/1QqKyyYR6Q21VydFLVH3TRQUabQu_ym0Zz7PgGX0-kHA/edit?usp=sharing"",""แผน!HS48"")"),130)</f>
        <v>130</v>
      </c>
      <c r="J651" s="270">
        <f ca="1">IFERROR(__xludf.DUMMYFUNCTION("IMPORTRANGE(""https://docs.google.com/spreadsheets/d/1XWAQStnk-4SwqDmLtmXYiTMKHgktTP8We1SCoS47DrQ/edit?usp=sharing"",""จัดที่ดิน!AY48"")"),52)</f>
        <v>52</v>
      </c>
      <c r="K651" s="163">
        <f t="shared" ca="1" si="271"/>
        <v>40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IFERROR(__xludf.DUMMYFUNCTION("IMPORTRANGE(""https://docs.google.com/spreadsheets/d/1XWAQStnk-4SwqDmLtmXYiTMKHgktTP8We1SCoS47DrQ/edit?usp=sharing"",""จัดที่ดิน!AZ48"")"),29.345)</f>
        <v>29.344999999999999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2000</v>
      </c>
      <c r="O655" s="195">
        <f t="shared" ref="O655:O660" ca="1" si="274">IF(L655&gt;0,N655*100/L655,0)</f>
        <v>16.129032258064516</v>
      </c>
      <c r="P655" s="195">
        <f t="shared" ref="P655:P660" ca="1" si="275">IF(M655&gt;0,N655*100/M655,0)</f>
        <v>16.129032258064516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2000</v>
      </c>
      <c r="O657" s="93">
        <f t="shared" ca="1" si="274"/>
        <v>16.129032258064516</v>
      </c>
      <c r="P657" s="93">
        <f t="shared" ca="1" si="275"/>
        <v>16.129032258064516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2000</v>
      </c>
      <c r="O658" s="497">
        <f t="shared" ca="1" si="274"/>
        <v>16.129032258064516</v>
      </c>
      <c r="P658" s="497">
        <f t="shared" ca="1" si="275"/>
        <v>16.129032258064516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IFERROR(__xludf.DUMMYFUNCTION("IMPORTRANGE(""https://docs.google.com/spreadsheets/d/1QqKyyYR6Q21VydFLVH3TRQUabQu_ym0Zz7PgGX0-kHA/edit?usp=sharing"",""แผน!HV48"")"),12400)</f>
        <v>12400</v>
      </c>
      <c r="M660" s="93">
        <f ca="1">L660</f>
        <v>12400</v>
      </c>
      <c r="N660" s="93">
        <f>N661+N662+N663+N664</f>
        <v>2000</v>
      </c>
      <c r="O660" s="93">
        <f t="shared" ca="1" si="274"/>
        <v>16.129032258064516</v>
      </c>
      <c r="P660" s="93">
        <f t="shared" ca="1" si="275"/>
        <v>16.129032258064516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2000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IFERROR(__xludf.DUMMYFUNCTION("IMPORTRANGE(""https://docs.google.com/spreadsheets/d/1QqKyyYR6Q21VydFLVH3TRQUabQu_ym0Zz7PgGX0-kHA/edit?usp=sharing"",""แผน!HZ48"")"),4)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IFERROR(__xludf.DUMMYFUNCTION("IMPORTRANGE(""https://docs.google.com/spreadsheets/d/1QqKyyYR6Q21VydFLVH3TRQUabQu_ym0Zz7PgGX0-kHA/edit?usp=sharing"",""แผน!HZ48"")"),4)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3080</v>
      </c>
      <c r="M685" s="195">
        <f t="shared" ca="1" si="282"/>
        <v>3080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3080</v>
      </c>
      <c r="M687" s="93">
        <f t="shared" ca="1" si="285"/>
        <v>3080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3080</v>
      </c>
      <c r="M688" s="497">
        <f t="shared" ca="1" si="286"/>
        <v>3080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IFERROR(__xludf.DUMMYFUNCTION("IMPORTRANGE(""https://docs.google.com/spreadsheets/d/1QqKyyYR6Q21VydFLVH3TRQUabQu_ym0Zz7PgGX0-kHA/edit?usp=sharing"",""แผน!HW48"")"),3080)</f>
        <v>3080</v>
      </c>
      <c r="M690" s="93">
        <f ca="1">L690</f>
        <v>3080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IFERROR(__xludf.DUMMYFUNCTION("IMPORTRANGE(""https://docs.google.com/spreadsheets/d/1QqKyyYR6Q21VydFLVH3TRQUabQu_ym0Zz7PgGX0-kHA/edit?usp=sharing"",""แผน!IC48"")"),0)</f>
        <v>0</v>
      </c>
      <c r="J699" s="270">
        <f ca="1">IFERROR(__xludf.DUMMYFUNCTION("IMPORTRANGE(""https://docs.google.com/spreadsheets/d/1XWAQStnk-4SwqDmLtmXYiTMKHgktTP8We1SCoS47DrQ/edit?usp=sharing"",""จัดที่ดิน!BB48"")"),0)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IFERROR(__xludf.DUMMYFUNCTION("IMPORTRANGE(""https://docs.google.com/spreadsheets/d/1QqKyyYR6Q21VydFLVH3TRQUabQu_ym0Zz7PgGX0-kHA/edit?usp=sharing"",""แผน!ID48"")"),9)</f>
        <v>9</v>
      </c>
      <c r="J700" s="270">
        <f ca="1">IFERROR(__xludf.DUMMYFUNCTION("IMPORTRANGE(""https://docs.google.com/spreadsheets/d/1XWAQStnk-4SwqDmLtmXYiTMKHgktTP8We1SCoS47DrQ/edit?usp=sharing"",""จัดที่ดิน!BD48"")"),0)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IFERROR(__xludf.DUMMYFUNCTION("IMPORTRANGE(""https://docs.google.com/spreadsheets/d/1QqKyyYR6Q21VydFLVH3TRQUabQu_ym0Zz7PgGX0-kHA/edit?usp=sharing"",""แผน!IE48"")"),0)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IFERROR(__xludf.DUMMYFUNCTION("IMPORTRANGE(""https://docs.google.com/spreadsheets/d/1QqKyyYR6Q21VydFLVH3TRQUabQu_ym0Zz7PgGX0-kHA/edit?usp=sharing"",""แผน!IF48"")"),0)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IFERROR(__xludf.DUMMYFUNCTION("IMPORTRANGE(""https://docs.google.com/spreadsheets/d/1QqKyyYR6Q21VydFLVH3TRQUabQu_ym0Zz7PgGX0-kHA/edit?usp=sharing"",""แผน!IH48"")"),0)</f>
        <v>0</v>
      </c>
      <c r="J708" s="679">
        <f>J714+J717</f>
        <v>45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2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45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9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9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45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IFERROR(__xludf.DUMMYFUNCTION("IMPORTRANGE(""https://docs.google.com/spreadsheets/d/1QqKyyYR6Q21VydFLVH3TRQUabQu_ym0Zz7PgGX0-kHA/edit?usp=sharing"",""แผน!II48"")"),0)</f>
        <v>0</v>
      </c>
      <c r="J720" s="270">
        <f ca="1">IFERROR(__xludf.DUMMYFUNCTION("IMPORTRANGE(""https://docs.google.com/spreadsheets/d/1XWAQStnk-4SwqDmLtmXYiTMKHgktTP8We1SCoS47DrQ/edit?usp=sharing"",""จัดที่ดิน!BH48"")"),0)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IFERROR(__xludf.DUMMYFUNCTION("IMPORTRANGE(""https://docs.google.com/spreadsheets/d/1QqKyyYR6Q21VydFLVH3TRQUabQu_ym0Zz7PgGX0-kHA/edit?usp=sharing"",""แผน!IJ48"")"),0)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IFERROR(__xludf.DUMMYFUNCTION("IMPORTRANGE(""https://docs.google.com/spreadsheets/d/1QqKyyYR6Q21VydFLVH3TRQUabQu_ym0Zz7PgGX0-kHA/edit?usp=sharing"",""แผน!IK48"")"),0)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IFERROR(__xludf.DUMMYFUNCTION("IMPORTRANGE(""https://docs.google.com/spreadsheets/d/1QqKyyYR6Q21VydFLVH3TRQUabQu_ym0Zz7PgGX0-kHA/edit?usp=sharing"",""แผน!IL48"")"),0)</f>
        <v>0</v>
      </c>
      <c r="J723" s="270">
        <f ca="1">IFERROR(__xludf.DUMMYFUNCTION("IMPORTRANGE(""https://docs.google.com/spreadsheets/d/1XWAQStnk-4SwqDmLtmXYiTMKHgktTP8We1SCoS47DrQ/edit?usp=sharing"",""จัดที่ดิน!BM48"")"),0)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IFERROR(__xludf.DUMMYFUNCTION("IMPORTRANGE(""https://docs.google.com/spreadsheets/d/1XWAQStnk-4SwqDmLtmXYiTMKHgktTP8We1SCoS47DrQ/edit?usp=sharing"",""จัดที่ดิน!BN48"")"),0)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IFERROR(__xludf.DUMMYFUNCTION("IMPORTRANGE(""https://docs.google.com/spreadsheets/d/1QqKyyYR6Q21VydFLVH3TRQUabQu_ym0Zz7PgGX0-kHA/edit?usp=sharing"",""แผน!IM48"")"),0)</f>
        <v>0</v>
      </c>
      <c r="J725" s="270">
        <f ca="1">IFERROR(__xludf.DUMMYFUNCTION("IMPORTRANGE(""https://docs.google.com/spreadsheets/d/1XWAQStnk-4SwqDmLtmXYiTMKHgktTP8We1SCoS47DrQ/edit?usp=sharing"",""จัดที่ดิน!BO48"")"),0)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IFERROR(__xludf.DUMMYFUNCTION("IMPORTRANGE(""https://docs.google.com/spreadsheets/d/1QqKyyYR6Q21VydFLVH3TRQUabQu_ym0Zz7PgGX0-kHA/edit?usp=sharing"",""แผน!IN48"")"),0)</f>
        <v>0</v>
      </c>
      <c r="J726" s="270">
        <f ca="1">IFERROR(__xludf.DUMMYFUNCTION("IMPORTRANGE(""https://docs.google.com/spreadsheets/d/1XWAQStnk-4SwqDmLtmXYiTMKHgktTP8We1SCoS47DrQ/edit?usp=sharing"",""จัดที่ดิน!BR48"")"),0)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IFERROR(__xludf.DUMMYFUNCTION("IMPORTRANGE(""https://docs.google.com/spreadsheets/d/1QqKyyYR6Q21VydFLVH3TRQUabQu_ym0Zz7PgGX0-kHA/edit?usp=sharing"",""แผน!IO48"")"),0)</f>
        <v>0</v>
      </c>
      <c r="J728" s="270">
        <f ca="1">IFERROR(__xludf.DUMMYFUNCTION("IMPORTRANGE(""https://docs.google.com/spreadsheets/d/1XWAQStnk-4SwqDmLtmXYiTMKHgktTP8We1SCoS47DrQ/edit?usp=sharing"",""จัดที่ดิน!BT48"")"),0)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IFERROR(__xludf.DUMMYFUNCTION("IMPORTRANGE(""https://docs.google.com/spreadsheets/d/1QqKyyYR6Q21VydFLVH3TRQUabQu_ym0Zz7PgGX0-kHA/edit?usp=sharing"",""แผน!IP48"")"),10)</f>
        <v>10</v>
      </c>
      <c r="J729" s="679">
        <f>J732+J735</f>
        <v>12</v>
      </c>
      <c r="K729" s="195">
        <f t="shared" ca="1" si="293"/>
        <v>120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/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/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/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1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1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12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4000</v>
      </c>
      <c r="J785" s="805">
        <f t="shared" ca="1" si="318"/>
        <v>2143</v>
      </c>
      <c r="K785" s="806">
        <f ca="1">IF(I785&gt;0,J785*100/I785,0)</f>
        <v>53.575000000000003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191847.66999999998</v>
      </c>
      <c r="O786" s="195">
        <f t="shared" ref="O786:O791" ca="1" si="320">IF(L786&gt;0,N786*100/L786,0)</f>
        <v>71.971664915966386</v>
      </c>
      <c r="P786" s="195">
        <f t="shared" ref="P786:P791" ca="1" si="321">IF(M786&gt;0,N786*100/M786,0)</f>
        <v>71.971664915966386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191847.66999999998</v>
      </c>
      <c r="O788" s="93">
        <f t="shared" ca="1" si="320"/>
        <v>71.971664915966386</v>
      </c>
      <c r="P788" s="93">
        <f t="shared" ca="1" si="321"/>
        <v>71.971664915966386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191847.66999999998</v>
      </c>
      <c r="O789" s="497">
        <f t="shared" ca="1" si="320"/>
        <v>71.971664915966386</v>
      </c>
      <c r="P789" s="497">
        <f t="shared" ca="1" si="321"/>
        <v>71.971664915966386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IFERROR(__xludf.DUMMYFUNCTION("IMPORTRANGE(""https://docs.google.com/spreadsheets/d/1QqKyyYR6Q21VydFLVH3TRQUabQu_ym0Zz7PgGX0-kHA/edit?usp=sharing"",""แผน!JJ48"")"),266560)</f>
        <v>266560</v>
      </c>
      <c r="M791" s="93">
        <f ca="1">L791</f>
        <v>266560</v>
      </c>
      <c r="N791" s="93">
        <f>N792+N793+N794+N795</f>
        <v>191847.66999999998</v>
      </c>
      <c r="O791" s="93">
        <f t="shared" ca="1" si="320"/>
        <v>71.971664915966386</v>
      </c>
      <c r="P791" s="93">
        <f t="shared" ca="1" si="321"/>
        <v>71.971664915966386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78000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113847.67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IFERROR(__xludf.DUMMYFUNCTION("IMPORTRANGE(""https://docs.google.com/spreadsheets/d/1MaWodYyGHDf7siQLGxnXhG4mBNTNIuy296niS2xXulU/edit?usp=sharing"",""RTK!H48"")"),109)</f>
        <v>109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IFERROR(__xludf.DUMMYFUNCTION("IMPORTRANGE(""https://docs.google.com/spreadsheets/d/1MaWodYyGHDf7siQLGxnXhG4mBNTNIuy296niS2xXulU/edit?usp=sharing"",""RTK!G48"")"),4000)</f>
        <v>4000</v>
      </c>
      <c r="J801" s="820">
        <f ca="1">IFERROR(__xludf.DUMMYFUNCTION("IMPORTRANGE(""https://docs.google.com/spreadsheets/d/1MaWodYyGHDf7siQLGxnXhG4mBNTNIuy296niS2xXulU/edit?usp=sharing"",""RTK!I48"")"),2143)</f>
        <v>2143</v>
      </c>
      <c r="K801" s="821">
        <f ca="1">IF(I801&gt;0,J801*100/I801,0)</f>
        <v>53.575000000000003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IFERROR(__xludf.DUMMYFUNCTION("IMPORTRANGE(""https://docs.google.com/spreadsheets/d/1MaWodYyGHDf7siQLGxnXhG4mBNTNIuy296niS2xXulU/edit?usp=sharing"",""RTK!L48"")"),0)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IFERROR(__xludf.DUMMYFUNCTION("IMPORTRANGE(""https://docs.google.com/spreadsheets/d/1MaWodYyGHDf7siQLGxnXhG4mBNTNIuy296niS2xXulU/edit?usp=sharing"",""RTK!K48"")"),0)</f>
        <v>0</v>
      </c>
      <c r="J803" s="820">
        <f ca="1">IFERROR(__xludf.DUMMYFUNCTION("IMPORTRANGE(""https://docs.google.com/spreadsheets/d/1MaWodYyGHDf7siQLGxnXhG4mBNTNIuy296niS2xXulU/edit?usp=sharing"",""RTK!M48"")"),0)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270">
        <f ca="1">IFERROR(__xludf.DUMMYFUNCTION("IMPORTRANGE(""https://docs.google.com/spreadsheets/d/19vJNZY_5yjcGF2XGBMNZRCAIB0Kwfpjp8YEOfu-bneM/edit?usp=sharing"",""งานกองทุน!F48"")"),2489561.73)</f>
        <v>2489561.73</v>
      </c>
      <c r="K821" s="497">
        <f t="shared" ref="K821:K828" ca="1" si="336">IF(I821&gt;0,J821*100/I821,0)</f>
        <v>85.414256126783883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IFERROR(__xludf.DUMMYFUNCTION("IMPORTRANGE(""https://docs.google.com/spreadsheets/d/19vJNZY_5yjcGF2XGBMNZRCAIB0Kwfpjp8YEOfu-bneM/edit?usp=sharing"",""งานกองทุน!C48"")"),178)</f>
        <v>178</v>
      </c>
      <c r="J822" s="270">
        <f ca="1">IFERROR(__xludf.DUMMYFUNCTION("IMPORTRANGE(""https://docs.google.com/spreadsheets/d/19vJNZY_5yjcGF2XGBMNZRCAIB0Kwfpjp8YEOfu-bneM/edit?usp=sharing"",""งานกองทุน!E48"")"),162)</f>
        <v>162</v>
      </c>
      <c r="K822" s="497">
        <f t="shared" ca="1" si="336"/>
        <v>91.011235955056179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270">
        <f ca="1">IFERROR(__xludf.DUMMYFUNCTION("IMPORTRANGE(""https://docs.google.com/spreadsheets/d/19vJNZY_5yjcGF2XGBMNZRCAIB0Kwfpjp8YEOfu-bneM/edit?usp=sharing"",""งานกองทุน!K48"")"),292952.55)</f>
        <v>292952.55</v>
      </c>
      <c r="K823" s="497">
        <f t="shared" ca="1" si="336"/>
        <v>12.625223826957978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IFERROR(__xludf.DUMMYFUNCTION("IMPORTRANGE(""https://docs.google.com/spreadsheets/d/19vJNZY_5yjcGF2XGBMNZRCAIB0Kwfpjp8YEOfu-bneM/edit?usp=sharing"",""งานกองทุน!H48"")"),113)</f>
        <v>113</v>
      </c>
      <c r="J824" s="270">
        <f ca="1">IFERROR(__xludf.DUMMYFUNCTION("IMPORTRANGE(""https://docs.google.com/spreadsheets/d/19vJNZY_5yjcGF2XGBMNZRCAIB0Kwfpjp8YEOfu-bneM/edit?usp=sharing"",""งานกองทุน!J48"")"),37)</f>
        <v>37</v>
      </c>
      <c r="K824" s="497">
        <f t="shared" ca="1" si="336"/>
        <v>32.743362831858406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IFERROR(__xludf.DUMMYFUNCTION("IMPORTRANGE(""https://docs.google.com/spreadsheets/d/19vJNZY_5yjcGF2XGBMNZRCAIB0Kwfpjp8YEOfu-bneM/edit?usp=sharing"",""งานกองทุน!N48"")"),0)</f>
        <v>0</v>
      </c>
      <c r="J825" s="270">
        <f ca="1">IFERROR(__xludf.DUMMYFUNCTION("IMPORTRANGE(""https://docs.google.com/spreadsheets/d/19vJNZY_5yjcGF2XGBMNZRCAIB0Kwfpjp8YEOfu-bneM/edit?usp=sharing"",""งานกองทุน!P48"")"),2363)</f>
        <v>2363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IFERROR(__xludf.DUMMYFUNCTION("IMPORTRANGE(""https://docs.google.com/spreadsheets/d/19vJNZY_5yjcGF2XGBMNZRCAIB0Kwfpjp8YEOfu-bneM/edit?usp=sharing"",""งานกองทุน!M48"")"),0)</f>
        <v>0</v>
      </c>
      <c r="J826" s="270">
        <f ca="1">IFERROR(__xludf.DUMMYFUNCTION("IMPORTRANGE(""https://docs.google.com/spreadsheets/d/19vJNZY_5yjcGF2XGBMNZRCAIB0Kwfpjp8YEOfu-bneM/edit?usp=sharing"",""งานกองทุน!O48"")"),2)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IFERROR(__xludf.DUMMYFUNCTION("IMPORTRANGE(""https://docs.google.com/spreadsheets/d/19vJNZY_5yjcGF2XGBMNZRCAIB0Kwfpjp8YEOfu-bneM/edit?usp=sharing"",""งานกองทุน!S48"")"),4200000)</f>
        <v>4200000</v>
      </c>
      <c r="J827" s="270">
        <f ca="1">IFERROR(__xludf.DUMMYFUNCTION("IMPORTRANGE(""https://docs.google.com/spreadsheets/d/19vJNZY_5yjcGF2XGBMNZRCAIB0Kwfpjp8YEOfu-bneM/edit?usp=sharing"",""งานกองทุน!U48"")"),2000000)</f>
        <v>2000000</v>
      </c>
      <c r="K827" s="497">
        <f t="shared" ca="1" si="336"/>
        <v>47.61904761904762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IFERROR(__xludf.DUMMYFUNCTION("IMPORTRANGE(""https://docs.google.com/spreadsheets/d/19vJNZY_5yjcGF2XGBMNZRCAIB0Kwfpjp8YEOfu-bneM/edit?usp=sharing"",""งานกองทุน!R48"")"),168)</f>
        <v>168</v>
      </c>
      <c r="J828" s="504">
        <f ca="1">IFERROR(__xludf.DUMMYFUNCTION("IMPORTRANGE(""https://docs.google.com/spreadsheets/d/19vJNZY_5yjcGF2XGBMNZRCAIB0Kwfpjp8YEOfu-bneM/edit?usp=sharing"",""งานกองทุน!T48"")"),57)</f>
        <v>57</v>
      </c>
      <c r="K828" s="505">
        <f t="shared" ca="1" si="336"/>
        <v>33.928571428571431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27BD9-7CBC-4A67-A079-6EA8477C019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4544086</v>
      </c>
      <c r="M8" s="22">
        <f t="shared" ca="1" si="0"/>
        <v>3981111</v>
      </c>
      <c r="N8" s="22">
        <f t="shared" ca="1" si="0"/>
        <v>2082150.26</v>
      </c>
      <c r="O8" s="22">
        <f t="shared" ref="O8:O16" ca="1" si="1">IF(L8&gt;0,N8*100/L8,0)</f>
        <v>45.821101537250833</v>
      </c>
      <c r="P8" s="22">
        <f t="shared" ref="P8:P16" ca="1" si="2">IF(M8&gt;0,N8*100/M8,0)</f>
        <v>52.300733639428792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4544086</v>
      </c>
      <c r="M10" s="30">
        <f t="shared" ca="1" si="3"/>
        <v>3981111</v>
      </c>
      <c r="N10" s="30">
        <f t="shared" ca="1" si="3"/>
        <v>2082150.26</v>
      </c>
      <c r="O10" s="30">
        <f t="shared" ca="1" si="1"/>
        <v>45.821101537250833</v>
      </c>
      <c r="P10" s="30">
        <f t="shared" ca="1" si="2"/>
        <v>52.300733639428792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4448686</v>
      </c>
      <c r="M11" s="497">
        <f t="shared" ca="1" si="4"/>
        <v>3885711</v>
      </c>
      <c r="N11" s="497">
        <f t="shared" ca="1" si="4"/>
        <v>1986750.26</v>
      </c>
      <c r="O11" s="497">
        <f t="shared" ca="1" si="1"/>
        <v>44.659260284947059</v>
      </c>
      <c r="P11" s="497">
        <f t="shared" ca="1" si="2"/>
        <v>51.129645514038486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4448686</v>
      </c>
      <c r="M13" s="93">
        <f t="shared" ca="1" si="5"/>
        <v>3885711</v>
      </c>
      <c r="N13" s="93">
        <f t="shared" ca="1" si="5"/>
        <v>1986750.26</v>
      </c>
      <c r="O13" s="93">
        <f t="shared" ca="1" si="1"/>
        <v>44.659260284947059</v>
      </c>
      <c r="P13" s="93">
        <f t="shared" ca="1" si="2"/>
        <v>51.129645514038486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95400</v>
      </c>
      <c r="M14" s="497">
        <f t="shared" ca="1" si="6"/>
        <v>95400</v>
      </c>
      <c r="N14" s="497">
        <f t="shared" ca="1" si="6"/>
        <v>95400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2492750</v>
      </c>
      <c r="N18" s="22">
        <f t="shared" ca="1" si="8"/>
        <v>1745990.26</v>
      </c>
      <c r="O18" s="22">
        <f t="shared" ref="O18:O26" ca="1" si="9">IF(L18&gt;0,N18*100/L18,0)</f>
        <v>57.138330838017161</v>
      </c>
      <c r="P18" s="22">
        <f t="shared" ref="P18:P26" ca="1" si="10">IF(M18&gt;0,N18*100/M18,0)</f>
        <v>70.042734329555714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2492750</v>
      </c>
      <c r="N20" s="30">
        <f t="shared" ca="1" si="11"/>
        <v>1745990.26</v>
      </c>
      <c r="O20" s="30">
        <f t="shared" ca="1" si="9"/>
        <v>57.138330838017161</v>
      </c>
      <c r="P20" s="30">
        <f t="shared" ca="1" si="10"/>
        <v>70.042734329555714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2960325</v>
      </c>
      <c r="M21" s="497">
        <f t="shared" ca="1" si="12"/>
        <v>2397350</v>
      </c>
      <c r="N21" s="497">
        <f t="shared" ca="1" si="12"/>
        <v>1650590.26</v>
      </c>
      <c r="O21" s="497">
        <f t="shared" ca="1" si="9"/>
        <v>55.757062484693407</v>
      </c>
      <c r="P21" s="497">
        <f t="shared" ca="1" si="10"/>
        <v>68.850616722631244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2960325</v>
      </c>
      <c r="M23" s="93">
        <f t="shared" ca="1" si="13"/>
        <v>2397350</v>
      </c>
      <c r="N23" s="93">
        <f t="shared" ca="1" si="13"/>
        <v>1650590.26</v>
      </c>
      <c r="O23" s="93">
        <f t="shared" ca="1" si="9"/>
        <v>55.757062484693407</v>
      </c>
      <c r="P23" s="93">
        <f t="shared" ca="1" si="10"/>
        <v>68.850616722631244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95400</v>
      </c>
      <c r="M24" s="497">
        <f t="shared" ca="1" si="14"/>
        <v>95400</v>
      </c>
      <c r="N24" s="497">
        <f t="shared" ca="1" si="14"/>
        <v>95400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1488361</v>
      </c>
      <c r="M28" s="22">
        <f t="shared" ca="1" si="16"/>
        <v>1488361</v>
      </c>
      <c r="N28" s="22">
        <f t="shared" si="16"/>
        <v>336160</v>
      </c>
      <c r="O28" s="22">
        <f t="shared" ref="O28:O37" ca="1" si="17">IF(L28&gt;0,N28*100/L28,0)</f>
        <v>22.585918335672595</v>
      </c>
      <c r="P28" s="22">
        <f t="shared" ref="P28:P37" ca="1" si="18">IF(M28&gt;0,N28*100/M28,0)</f>
        <v>22.585918335672595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1488361</v>
      </c>
      <c r="M30" s="30">
        <f t="shared" ca="1" si="19"/>
        <v>1488361</v>
      </c>
      <c r="N30" s="30">
        <f t="shared" si="19"/>
        <v>336160</v>
      </c>
      <c r="O30" s="30">
        <f t="shared" ca="1" si="17"/>
        <v>22.585918335672595</v>
      </c>
      <c r="P30" s="30">
        <f t="shared" ca="1" si="18"/>
        <v>22.585918335672595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1488361</v>
      </c>
      <c r="M31" s="497">
        <f t="shared" ca="1" si="20"/>
        <v>1488361</v>
      </c>
      <c r="N31" s="497">
        <f t="shared" si="20"/>
        <v>336160</v>
      </c>
      <c r="O31" s="497">
        <f t="shared" ca="1" si="17"/>
        <v>22.585918335672595</v>
      </c>
      <c r="P31" s="497">
        <f t="shared" ca="1" si="18"/>
        <v>22.585918335672595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1488361</v>
      </c>
      <c r="M33" s="93">
        <f t="shared" ca="1" si="21"/>
        <v>1488361</v>
      </c>
      <c r="N33" s="93">
        <f t="shared" si="21"/>
        <v>336160</v>
      </c>
      <c r="O33" s="93">
        <f t="shared" ca="1" si="17"/>
        <v>22.585918335672595</v>
      </c>
      <c r="P33" s="93">
        <f t="shared" ca="1" si="18"/>
        <v>22.585918335672595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3055725</v>
      </c>
      <c r="M37" s="870">
        <f t="shared" ca="1" si="24"/>
        <v>2492750</v>
      </c>
      <c r="N37" s="870">
        <f t="shared" ca="1" si="24"/>
        <v>1745990.26</v>
      </c>
      <c r="O37" s="870">
        <f t="shared" ca="1" si="17"/>
        <v>57.138330838017161</v>
      </c>
      <c r="P37" s="870">
        <f t="shared" ca="1" si="18"/>
        <v>70.042734329555714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440300</v>
      </c>
      <c r="N41" s="85">
        <f t="shared" ca="1" si="25"/>
        <v>242045.08</v>
      </c>
      <c r="O41" s="85">
        <f t="shared" ref="O41:O49" ca="1" si="26">IF(L41&gt;0,N41*100/L41,0)</f>
        <v>54.972764024528729</v>
      </c>
      <c r="P41" s="85">
        <f t="shared" ref="P41:P49" ca="1" si="27">IF(M41&gt;0,N41*100/M41,0)</f>
        <v>54.972764024528729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440300</v>
      </c>
      <c r="N43" s="92">
        <f t="shared" ca="1" si="28"/>
        <v>242045.08</v>
      </c>
      <c r="O43" s="92">
        <f t="shared" ca="1" si="26"/>
        <v>54.972764024528729</v>
      </c>
      <c r="P43" s="92">
        <f t="shared" ca="1" si="27"/>
        <v>54.972764024528729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440300</v>
      </c>
      <c r="M44" s="497">
        <f t="shared" ca="1" si="29"/>
        <v>440300</v>
      </c>
      <c r="N44" s="497">
        <f t="shared" ca="1" si="29"/>
        <v>242045.08</v>
      </c>
      <c r="O44" s="497">
        <f t="shared" ca="1" si="26"/>
        <v>54.972764024528729</v>
      </c>
      <c r="P44" s="497">
        <f t="shared" ca="1" si="27"/>
        <v>54.972764024528729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IFERROR(__xludf.DUMMYFUNCTION("IMPORTRANGE(""https://docs.google.com/spreadsheets/d/1MeEWN-I1oV_STSDYn1IFDPWt_1FKiwhDph83XaGc0o0/edit?usp=sharing"",""งบพรบ!M49"")"),440300)</f>
        <v>440300</v>
      </c>
      <c r="M46" s="93">
        <f ca="1">IFERROR(__xludf.DUMMYFUNCTION("IMPORTRANGE(""https://docs.google.com/spreadsheets/d/1MeEWN-I1oV_STSDYn1IFDPWt_1FKiwhDph83XaGc0o0/edit?usp=sharing"",""งบพรบ!R49"")"),440300)</f>
        <v>440300</v>
      </c>
      <c r="N46" s="93">
        <f ca="1">IFERROR(__xludf.DUMMYFUNCTION("IMPORTRANGE(""https://docs.google.com/spreadsheets/d/1MeEWN-I1oV_STSDYn1IFDPWt_1FKiwhDph83XaGc0o0/edit?usp=sharing"",""งบพรบ!T49"")"),242045.08)</f>
        <v>242045.08</v>
      </c>
      <c r="O46" s="93">
        <f t="shared" ca="1" si="26"/>
        <v>54.972764024528729</v>
      </c>
      <c r="P46" s="93">
        <f t="shared" ca="1" si="27"/>
        <v>54.972764024528729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661900</v>
      </c>
      <c r="M53" s="116">
        <f t="shared" ca="1" si="31"/>
        <v>496425</v>
      </c>
      <c r="N53" s="116">
        <f t="shared" ca="1" si="31"/>
        <v>367820.18</v>
      </c>
      <c r="O53" s="116">
        <f t="shared" ref="O53:O61" ca="1" si="32">IF(L53&gt;0,N53*100/L53,0)</f>
        <v>55.570355038525456</v>
      </c>
      <c r="P53" s="116">
        <f t="shared" ref="P53:P61" ca="1" si="33">IF(M53&gt;0,N53*100/M53,0)</f>
        <v>74.093806718033946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661900</v>
      </c>
      <c r="M55" s="123">
        <f t="shared" ca="1" si="34"/>
        <v>496425</v>
      </c>
      <c r="N55" s="123">
        <f t="shared" ca="1" si="34"/>
        <v>367820.18</v>
      </c>
      <c r="O55" s="123">
        <f t="shared" ca="1" si="32"/>
        <v>55.570355038525456</v>
      </c>
      <c r="P55" s="123">
        <f t="shared" ca="1" si="33"/>
        <v>74.093806718033946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661900</v>
      </c>
      <c r="M56" s="497">
        <f t="shared" ca="1" si="35"/>
        <v>496425</v>
      </c>
      <c r="N56" s="497">
        <f t="shared" ca="1" si="35"/>
        <v>367820.18</v>
      </c>
      <c r="O56" s="497">
        <f t="shared" ca="1" si="32"/>
        <v>55.570355038525456</v>
      </c>
      <c r="P56" s="497">
        <f t="shared" ca="1" si="33"/>
        <v>74.093806718033946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IFERROR(__xludf.DUMMYFUNCTION("IMPORTRANGE(""https://docs.google.com/spreadsheets/d/1MeEWN-I1oV_STSDYn1IFDPWt_1FKiwhDph83XaGc0o0/edit?usp=sharing"",""งบพรบ!W49"")"),661900)</f>
        <v>661900</v>
      </c>
      <c r="M58" s="93">
        <f ca="1">IFERROR(__xludf.DUMMYFUNCTION("IMPORTRANGE(""https://docs.google.com/spreadsheets/d/1MeEWN-I1oV_STSDYn1IFDPWt_1FKiwhDph83XaGc0o0/edit?usp=sharing"",""งบพรบ!AB49"")"),496425)</f>
        <v>496425</v>
      </c>
      <c r="N58" s="93">
        <f ca="1">IFERROR(__xludf.DUMMYFUNCTION("IMPORTRANGE(""https://docs.google.com/spreadsheets/d/1MeEWN-I1oV_STSDYn1IFDPWt_1FKiwhDph83XaGc0o0/edit?usp=sharing"",""งบพรบ!AD49"")"),367820.18)</f>
        <v>367820.18</v>
      </c>
      <c r="O58" s="93">
        <f t="shared" ca="1" si="32"/>
        <v>55.570355038525456</v>
      </c>
      <c r="P58" s="93">
        <f t="shared" ca="1" si="33"/>
        <v>74.093806718033946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48</v>
      </c>
      <c r="J65" s="144">
        <f t="shared" si="37"/>
        <v>48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781500</v>
      </c>
      <c r="M66" s="155">
        <f t="shared" ca="1" si="39"/>
        <v>589970</v>
      </c>
      <c r="N66" s="155">
        <f t="shared" ca="1" si="39"/>
        <v>354405</v>
      </c>
      <c r="O66" s="155">
        <f t="shared" ref="O66:O74" ca="1" si="40">IF(L66&gt;0,N66*100/L66,0)</f>
        <v>45.349328214971209</v>
      </c>
      <c r="P66" s="155">
        <f t="shared" ref="P66:P74" ca="1" si="41">IF(M66&gt;0,N66*100/M66,0)</f>
        <v>60.07169856094378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781500</v>
      </c>
      <c r="M68" s="93">
        <f t="shared" ca="1" si="42"/>
        <v>589970</v>
      </c>
      <c r="N68" s="93">
        <f t="shared" ca="1" si="42"/>
        <v>354405</v>
      </c>
      <c r="O68" s="93">
        <f t="shared" ca="1" si="40"/>
        <v>45.349328214971209</v>
      </c>
      <c r="P68" s="93">
        <f t="shared" ca="1" si="41"/>
        <v>60.07169856094378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781500</v>
      </c>
      <c r="M69" s="497">
        <f t="shared" ca="1" si="43"/>
        <v>589970</v>
      </c>
      <c r="N69" s="497">
        <f t="shared" ca="1" si="43"/>
        <v>354405</v>
      </c>
      <c r="O69" s="497">
        <f t="shared" ca="1" si="40"/>
        <v>45.349328214971209</v>
      </c>
      <c r="P69" s="497">
        <f t="shared" ca="1" si="41"/>
        <v>60.07169856094378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IFERROR(__xludf.DUMMYFUNCTION("IMPORTRANGE(""https://docs.google.com/spreadsheets/d/1MeEWN-I1oV_STSDYn1IFDPWt_1FKiwhDph83XaGc0o0/edit?usp=sharing"",""งบพรบ!AG49"")"),781500)</f>
        <v>781500</v>
      </c>
      <c r="M71" s="93">
        <f ca="1">IFERROR(__xludf.DUMMYFUNCTION("IMPORTRANGE(""https://docs.google.com/spreadsheets/d/1MeEWN-I1oV_STSDYn1IFDPWt_1FKiwhDph83XaGc0o0/edit?usp=sharing"",""งบพรบ!AL49"")"),589970)</f>
        <v>589970</v>
      </c>
      <c r="N71" s="93">
        <f ca="1">IFERROR(__xludf.DUMMYFUNCTION("IMPORTRANGE(""https://docs.google.com/spreadsheets/d/1MeEWN-I1oV_STSDYn1IFDPWt_1FKiwhDph83XaGc0o0/edit?usp=sharing"",""งบพรบ!AN49"")"),354405)</f>
        <v>354405</v>
      </c>
      <c r="O71" s="93">
        <f t="shared" ca="1" si="40"/>
        <v>45.349328214971209</v>
      </c>
      <c r="P71" s="93">
        <f t="shared" ca="1" si="41"/>
        <v>60.07169856094378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IFERROR(__xludf.DUMMYFUNCTION("IMPORTRANGE(""https://docs.google.com/spreadsheets/d/1MeEWN-I1oV_STSDYn1IFDPWt_1FKiwhDph83XaGc0o0/edit?usp=sharing"",""งบพรบ!AJ49"")"),0)</f>
        <v>0</v>
      </c>
      <c r="M74" s="93">
        <f ca="1">IFERROR(__xludf.DUMMYFUNCTION("IMPORTRANGE(""https://docs.google.com/spreadsheets/d/1MeEWN-I1oV_STSDYn1IFDPWt_1FKiwhDph83XaGc0o0/edit?usp=sharing"",""งบพรบ!AM49"")"),0)</f>
        <v>0</v>
      </c>
      <c r="N74" s="93">
        <f ca="1">IFERROR(__xludf.DUMMYFUNCTION("IMPORTRANGE(""https://docs.google.com/spreadsheets/d/1MeEWN-I1oV_STSDYn1IFDPWt_1FKiwhDph83XaGc0o0/edit?usp=sharing"",""งบพรบ!AO49"")"),0)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48</v>
      </c>
      <c r="J77" s="270">
        <f t="shared" si="45"/>
        <v>48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IFERROR(__xludf.DUMMYFUNCTION("IMPORTRANGE(""https://docs.google.com/spreadsheets/d/1QqKyyYR6Q21VydFLVH3TRQUabQu_ym0Zz7PgGX0-kHA/edit?usp=sharing"",""แผน!E49"")"),48)</f>
        <v>48</v>
      </c>
      <c r="J83" s="215">
        <v>48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72090</v>
      </c>
      <c r="N88" s="155">
        <f t="shared" ca="1" si="49"/>
        <v>71930</v>
      </c>
      <c r="O88" s="155">
        <f t="shared" ref="O88:O96" ca="1" si="50">IF(L88&gt;0,N88*100/L88,0)</f>
        <v>128.35474660956459</v>
      </c>
      <c r="P88" s="155">
        <f t="shared" ref="P88:P96" ca="1" si="51">IF(M88&gt;0,N88*100/M88,0)</f>
        <v>99.778055208766816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72090</v>
      </c>
      <c r="N90" s="93">
        <f t="shared" ca="1" si="52"/>
        <v>71930</v>
      </c>
      <c r="O90" s="93">
        <f t="shared" ca="1" si="50"/>
        <v>128.35474660956459</v>
      </c>
      <c r="P90" s="93">
        <f t="shared" ca="1" si="51"/>
        <v>99.778055208766816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72090</v>
      </c>
      <c r="N91" s="497">
        <f t="shared" ca="1" si="53"/>
        <v>71930</v>
      </c>
      <c r="O91" s="497">
        <f t="shared" ca="1" si="50"/>
        <v>128.35474660956459</v>
      </c>
      <c r="P91" s="497">
        <f t="shared" ca="1" si="51"/>
        <v>99.778055208766816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IFERROR(__xludf.DUMMYFUNCTION("IMPORTRANGE(""https://docs.google.com/spreadsheets/d/1MeEWN-I1oV_STSDYn1IFDPWt_1FKiwhDph83XaGc0o0/edit?usp=sharing"",""งบพรบ!AQ49"")"),56040)</f>
        <v>56040</v>
      </c>
      <c r="M93" s="93">
        <f ca="1">IFERROR(__xludf.DUMMYFUNCTION("IMPORTRANGE(""https://docs.google.com/spreadsheets/d/1MeEWN-I1oV_STSDYn1IFDPWt_1FKiwhDph83XaGc0o0/edit?usp=sharing"",""งบพรบ!AV49"")"),72090)</f>
        <v>72090</v>
      </c>
      <c r="N93" s="93">
        <f ca="1">IFERROR(__xludf.DUMMYFUNCTION("IMPORTRANGE(""https://docs.google.com/spreadsheets/d/1MeEWN-I1oV_STSDYn1IFDPWt_1FKiwhDph83XaGc0o0/edit?usp=sharing"",""งบพรบ!AX49"")"),71930)</f>
        <v>71930</v>
      </c>
      <c r="O93" s="93">
        <f t="shared" ca="1" si="50"/>
        <v>128.35474660956459</v>
      </c>
      <c r="P93" s="93">
        <f t="shared" ca="1" si="51"/>
        <v>99.778055208766816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IFERROR(__xludf.DUMMYFUNCTION("IMPORTRANGE(""https://docs.google.com/spreadsheets/d/1MeEWN-I1oV_STSDYn1IFDPWt_1FKiwhDph83XaGc0o0/edit?usp=sharing"",""งบพรบ!AT49"")"),0)</f>
        <v>0</v>
      </c>
      <c r="M96" s="93">
        <f ca="1">IFERROR(__xludf.DUMMYFUNCTION("IMPORTRANGE(""https://docs.google.com/spreadsheets/d/1MeEWN-I1oV_STSDYn1IFDPWt_1FKiwhDph83XaGc0o0/edit?usp=sharing"",""งบพรบ!AW49"")"),0)</f>
        <v>0</v>
      </c>
      <c r="N96" s="93">
        <f ca="1">IFERROR(__xludf.DUMMYFUNCTION("IMPORTRANGE(""https://docs.google.com/spreadsheets/d/1MeEWN-I1oV_STSDYn1IFDPWt_1FKiwhDph83XaGc0o0/edit?usp=sharing"",""งบพรบ!AY49"")"),0)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IFERROR(__xludf.DUMMYFUNCTION("IMPORTRANGE(""https://docs.google.com/spreadsheets/d/1QqKyyYR6Q21VydFLVH3TRQUabQu_ym0Zz7PgGX0-kHA/edit?usp=sharing"",""แผน!M49"")"),1)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IFERROR(__xludf.DUMMYFUNCTION("IMPORTRANGE(""https://docs.google.com/spreadsheets/d/1QqKyyYR6Q21VydFLVH3TRQUabQu_ym0Zz7PgGX0-kHA/edit?usp=sharing"",""แผน!Q49"")"),0)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IFERROR(__xludf.DUMMYFUNCTION("IMPORTRANGE(""https://docs.google.com/spreadsheets/d/1QqKyyYR6Q21VydFLVH3TRQUabQu_ym0Zz7PgGX0-kHA/edit?usp=sharing"",""แผน!Q49"")"),0)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IFERROR(__xludf.DUMMYFUNCTION("IMPORTRANGE(""https://docs.google.com/spreadsheets/d/1QqKyyYR6Q21VydFLVH3TRQUabQu_ym0Zz7PgGX0-kHA/edit?usp=sharing"",""แผน!R49"")"),10)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IFERROR(__xludf.DUMMYFUNCTION("IMPORTRANGE(""https://docs.google.com/spreadsheets/d/1QqKyyYR6Q21VydFLVH3TRQUabQu_ym0Zz7PgGX0-kHA/edit?usp=sharing"",""แผน!T49"")"),0)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IFERROR(__xludf.DUMMYFUNCTION("IMPORTRANGE(""https://docs.google.com/spreadsheets/d/1MeEWN-I1oV_STSDYn1IFDPWt_1FKiwhDph83XaGc0o0/edit?usp=sharing"",""งบพรบ!BA49"")"),0)</f>
        <v>0</v>
      </c>
      <c r="M124" s="93">
        <f ca="1">IFERROR(__xludf.DUMMYFUNCTION("IMPORTRANGE(""https://docs.google.com/spreadsheets/d/1MeEWN-I1oV_STSDYn1IFDPWt_1FKiwhDph83XaGc0o0/edit?usp=sharing"",""งบพรบ!BF49"")"),0)</f>
        <v>0</v>
      </c>
      <c r="N124" s="93">
        <f ca="1">IFERROR(__xludf.DUMMYFUNCTION("IMPORTRANGE(""https://docs.google.com/spreadsheets/d/1MeEWN-I1oV_STSDYn1IFDPWt_1FKiwhDph83XaGc0o0/edit?usp=sharing"",""งบพรบ!BH49"")"),0)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IFERROR(__xludf.DUMMYFUNCTION("IMPORTRANGE(""https://docs.google.com/spreadsheets/d/1MeEWN-I1oV_STSDYn1IFDPWt_1FKiwhDph83XaGc0o0/edit?usp=sharing"",""งบพรบ!BD49"")"),0)</f>
        <v>0</v>
      </c>
      <c r="M127" s="93">
        <f ca="1">IFERROR(__xludf.DUMMYFUNCTION("IMPORTRANGE(""https://docs.google.com/spreadsheets/d/1MeEWN-I1oV_STSDYn1IFDPWt_1FKiwhDph83XaGc0o0/edit?usp=sharing"",""งบพรบ!BG49"")"),0)</f>
        <v>0</v>
      </c>
      <c r="N127" s="93">
        <f ca="1">IFERROR(__xludf.DUMMYFUNCTION("IMPORTRANGE(""https://docs.google.com/spreadsheets/d/1MeEWN-I1oV_STSDYn1IFDPWt_1FKiwhDph83XaGc0o0/edit?usp=sharing"",""งบพรบ!BI49"")"),0)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IFERROR(__xludf.DUMMYFUNCTION("IMPORTRANGE(""https://docs.google.com/spreadsheets/d/1MeEWN-I1oV_STSDYn1IFDPWt_1FKiwhDph83XaGc0o0/edit?usp=sharing"",""งบพรบ!BK49"")"),0)</f>
        <v>0</v>
      </c>
      <c r="M137" s="93">
        <f ca="1">IFERROR(__xludf.DUMMYFUNCTION("IMPORTRANGE(""https://docs.google.com/spreadsheets/d/1MeEWN-I1oV_STSDYn1IFDPWt_1FKiwhDph83XaGc0o0/edit?usp=sharing"",""งบพรบ!BP49"")"),0)</f>
        <v>0</v>
      </c>
      <c r="N137" s="93">
        <f ca="1">IFERROR(__xludf.DUMMYFUNCTION("IMPORTRANGE(""https://docs.google.com/spreadsheets/d/1MeEWN-I1oV_STSDYn1IFDPWt_1FKiwhDph83XaGc0o0/edit?usp=sharing"",""งบพรบ!BR49"")"),0)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IFERROR(__xludf.DUMMYFUNCTION("IMPORTRANGE(""https://docs.google.com/spreadsheets/d/1MeEWN-I1oV_STSDYn1IFDPWt_1FKiwhDph83XaGc0o0/edit?usp=sharing"",""งบพรบ!BN49"")"),0)</f>
        <v>0</v>
      </c>
      <c r="M140" s="93">
        <f ca="1">IFERROR(__xludf.DUMMYFUNCTION("IMPORTRANGE(""https://docs.google.com/spreadsheets/d/1MeEWN-I1oV_STSDYn1IFDPWt_1FKiwhDph83XaGc0o0/edit?usp=sharing"",""งบพรบ!BQ49"")"),0)</f>
        <v>0</v>
      </c>
      <c r="N140" s="93">
        <f ca="1">IFERROR(__xludf.DUMMYFUNCTION("IMPORTRANGE(""https://docs.google.com/spreadsheets/d/1MeEWN-I1oV_STSDYn1IFDPWt_1FKiwhDph83XaGc0o0/edit?usp=sharing"",""งบพรบ!BS49"")"),0)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IFERROR(__xludf.DUMMYFUNCTION("IMPORTRANGE(""https://docs.google.com/spreadsheets/d/1MeEWN-I1oV_STSDYn1IFDPWt_1FKiwhDph83XaGc0o0/edit?usp=sharing"",""งบพรบ!BU49"")"),0)</f>
        <v>0</v>
      </c>
      <c r="M154" s="93">
        <f ca="1">IFERROR(__xludf.DUMMYFUNCTION("IMPORTRANGE(""https://docs.google.com/spreadsheets/d/1MeEWN-I1oV_STSDYn1IFDPWt_1FKiwhDph83XaGc0o0/edit?usp=sharing"",""งบพรบ!BZ49"")"),0)</f>
        <v>0</v>
      </c>
      <c r="N154" s="93">
        <f ca="1">IFERROR(__xludf.DUMMYFUNCTION("IMPORTRANGE(""https://docs.google.com/spreadsheets/d/1MeEWN-I1oV_STSDYn1IFDPWt_1FKiwhDph83XaGc0o0/edit?usp=sharing"",""งบพรบ!CB49"")"),0)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IFERROR(__xludf.DUMMYFUNCTION("IMPORTRANGE(""https://docs.google.com/spreadsheets/d/1MeEWN-I1oV_STSDYn1IFDPWt_1FKiwhDph83XaGc0o0/edit?usp=sharing"",""งบพรบ!BX49"")"),0)</f>
        <v>0</v>
      </c>
      <c r="M157" s="93">
        <f ca="1">IFERROR(__xludf.DUMMYFUNCTION("IMPORTRANGE(""https://docs.google.com/spreadsheets/d/1MeEWN-I1oV_STSDYn1IFDPWt_1FKiwhDph83XaGc0o0/edit?usp=sharing"",""งบพรบ!CA49"")"),0)</f>
        <v>0</v>
      </c>
      <c r="N157" s="93">
        <f ca="1">IFERROR(__xludf.DUMMYFUNCTION("IMPORTRANGE(""https://docs.google.com/spreadsheets/d/1MeEWN-I1oV_STSDYn1IFDPWt_1FKiwhDph83XaGc0o0/edit?usp=sharing"",""งบพรบ!CC49"")"),0)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IFERROR(__xludf.DUMMYFUNCTION("IMPORTRANGE(""https://docs.google.com/spreadsheets/d/1MeEWN-I1oV_STSDYn1IFDPWt_1FKiwhDph83XaGc0o0/edit?usp=sharing"",""งบพรบ!CE49"")"),22055)</f>
        <v>22055</v>
      </c>
      <c r="M170" s="93">
        <f ca="1">IFERROR(__xludf.DUMMYFUNCTION("IMPORTRANGE(""https://docs.google.com/spreadsheets/d/1MeEWN-I1oV_STSDYn1IFDPWt_1FKiwhDph83XaGc0o0/edit?usp=sharing"",""งบพรบ!CJ49"")"),22055)</f>
        <v>22055</v>
      </c>
      <c r="N170" s="93">
        <f ca="1">IFERROR(__xludf.DUMMYFUNCTION("IMPORTRANGE(""https://docs.google.com/spreadsheets/d/1MeEWN-I1oV_STSDYn1IFDPWt_1FKiwhDph83XaGc0o0/edit?usp=sharing"",""งบพรบ!CL49"")"),22055)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IFERROR(__xludf.DUMMYFUNCTION("IMPORTRANGE(""https://docs.google.com/spreadsheets/d/1MeEWN-I1oV_STSDYn1IFDPWt_1FKiwhDph83XaGc0o0/edit?usp=sharing"",""งบพรบ!CH49"")"),0)</f>
        <v>0</v>
      </c>
      <c r="M173" s="93">
        <f ca="1">IFERROR(__xludf.DUMMYFUNCTION("IMPORTRANGE(""https://docs.google.com/spreadsheets/d/1MeEWN-I1oV_STSDYn1IFDPWt_1FKiwhDph83XaGc0o0/edit?usp=sharing"",""งบพรบ!CK49"")"),0)</f>
        <v>0</v>
      </c>
      <c r="N173" s="93">
        <f ca="1">IFERROR(__xludf.DUMMYFUNCTION("IMPORTRANGE(""https://docs.google.com/spreadsheets/d/1MeEWN-I1oV_STSDYn1IFDPWt_1FKiwhDph83XaGc0o0/edit?usp=sharing"",""งบพรบ!CM49"")"),0)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73600</v>
      </c>
      <c r="M181" s="155">
        <f t="shared" ca="1" si="92"/>
        <v>54500</v>
      </c>
      <c r="N181" s="155">
        <f t="shared" ca="1" si="92"/>
        <v>48390</v>
      </c>
      <c r="O181" s="155">
        <f t="shared" ref="O181:O189" ca="1" si="93">IF(L181&gt;0,N181*100/L181,0)</f>
        <v>65.747282608695656</v>
      </c>
      <c r="P181" s="155">
        <f t="shared" ref="P181:P189" ca="1" si="94">IF(M181&gt;0,N181*100/M181,0)</f>
        <v>88.788990825688074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73600</v>
      </c>
      <c r="M183" s="93">
        <f t="shared" ca="1" si="95"/>
        <v>54500</v>
      </c>
      <c r="N183" s="93">
        <f t="shared" ca="1" si="95"/>
        <v>48390</v>
      </c>
      <c r="O183" s="93">
        <f t="shared" ca="1" si="93"/>
        <v>65.747282608695656</v>
      </c>
      <c r="P183" s="93">
        <f t="shared" ca="1" si="94"/>
        <v>88.788990825688074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73600</v>
      </c>
      <c r="M184" s="497">
        <f t="shared" ca="1" si="96"/>
        <v>54500</v>
      </c>
      <c r="N184" s="497">
        <f t="shared" ca="1" si="96"/>
        <v>48390</v>
      </c>
      <c r="O184" s="497">
        <f t="shared" ca="1" si="93"/>
        <v>65.747282608695656</v>
      </c>
      <c r="P184" s="497">
        <f t="shared" ca="1" si="94"/>
        <v>88.788990825688074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IFERROR(__xludf.DUMMYFUNCTION("IMPORTRANGE(""https://docs.google.com/spreadsheets/d/1MeEWN-I1oV_STSDYn1IFDPWt_1FKiwhDph83XaGc0o0/edit?usp=sharing"",""งบพรบ!CO49"")"),73600)</f>
        <v>73600</v>
      </c>
      <c r="M186" s="93">
        <f ca="1">IFERROR(__xludf.DUMMYFUNCTION("IMPORTRANGE(""https://docs.google.com/spreadsheets/d/1MeEWN-I1oV_STSDYn1IFDPWt_1FKiwhDph83XaGc0o0/edit?usp=sharing"",""งบพรบ!CT49"")"),54500)</f>
        <v>54500</v>
      </c>
      <c r="N186" s="93">
        <f ca="1">IFERROR(__xludf.DUMMYFUNCTION("IMPORTRANGE(""https://docs.google.com/spreadsheets/d/1MeEWN-I1oV_STSDYn1IFDPWt_1FKiwhDph83XaGc0o0/edit?usp=sharing"",""งบพรบ!CV49"")"),48390)</f>
        <v>48390</v>
      </c>
      <c r="O186" s="93">
        <f t="shared" ca="1" si="93"/>
        <v>65.747282608695656</v>
      </c>
      <c r="P186" s="93">
        <f t="shared" ca="1" si="94"/>
        <v>88.788990825688074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IFERROR(__xludf.DUMMYFUNCTION("IMPORTRANGE(""https://docs.google.com/spreadsheets/d/1MeEWN-I1oV_STSDYn1IFDPWt_1FKiwhDph83XaGc0o0/edit?usp=sharing"",""งบพรบ!CR49"")"),0)</f>
        <v>0</v>
      </c>
      <c r="M189" s="93">
        <f ca="1">IFERROR(__xludf.DUMMYFUNCTION("IMPORTRANGE(""https://docs.google.com/spreadsheets/d/1MeEWN-I1oV_STSDYn1IFDPWt_1FKiwhDph83XaGc0o0/edit?usp=sharing"",""งบพรบ!CU49"")"),0)</f>
        <v>0</v>
      </c>
      <c r="N189" s="93">
        <f ca="1">IFERROR(__xludf.DUMMYFUNCTION("IMPORTRANGE(""https://docs.google.com/spreadsheets/d/1MeEWN-I1oV_STSDYn1IFDPWt_1FKiwhDph83XaGc0o0/edit?usp=sharing"",""งบพรบ!CW49"")"),0)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IFERROR(__xludf.DUMMYFUNCTION("IMPORTRANGE(""https://docs.google.com/spreadsheets/d/1QqKyyYR6Q21VydFLVH3TRQUabQu_ym0Zz7PgGX0-kHA/edit?usp=sharing"",""แผน!Z49"")"),6000)</f>
        <v>6000</v>
      </c>
      <c r="M191" s="155"/>
      <c r="N191" s="276">
        <v>3390</v>
      </c>
      <c r="O191" s="155">
        <f ca="1">IF(L191&gt;0,N191*100/L191,0)</f>
        <v>56.5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IFERROR(__xludf.DUMMYFUNCTION("IMPORTRANGE(""https://docs.google.com/spreadsheets/d/1QqKyyYR6Q21VydFLVH3TRQUabQu_ym0Zz7PgGX0-kHA/edit?usp=sharing"",""แผน!AE49"")"),2000)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IFERROR(__xludf.DUMMYFUNCTION("IMPORTRANGE(""https://docs.google.com/spreadsheets/d/1QqKyyYR6Q21VydFLVH3TRQUabQu_ym0Zz7PgGX0-kHA/edit?usp=sharing"",""แผน!AH49"")"),5000)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IFERROR(__xludf.DUMMYFUNCTION("IMPORTRANGE(""https://docs.google.com/spreadsheets/d/1QqKyyYR6Q21VydFLVH3TRQUabQu_ym0Zz7PgGX0-kHA/edit?usp=sharing"",""แผน!AK49"")"),1000)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IFERROR(__xludf.DUMMYFUNCTION("IMPORTRANGE(""https://docs.google.com/spreadsheets/d/1QqKyyYR6Q21VydFLVH3TRQUabQu_ym0Zz7PgGX0-kHA/edit?usp=sharing"",""แผน!AL49"")"),5000)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IFERROR(__xludf.DUMMYFUNCTION("IMPORTRANGE(""https://docs.google.com/spreadsheets/d/1QqKyyYR6Q21VydFLVH3TRQUabQu_ym0Zz7PgGX0-kHA/edit?usp=sharing"",""แผน!AM49"")"),8000)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IFERROR(__xludf.DUMMYFUNCTION("IMPORTRANGE(""https://docs.google.com/spreadsheets/d/1QqKyyYR6Q21VydFLVH3TRQUabQu_ym0Zz7PgGX0-kHA/edit?usp=sharing"",""แผน!AN49"")"),1)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IFERROR(__xludf.DUMMYFUNCTION("IMPORTRANGE(""https://docs.google.com/spreadsheets/d/1QqKyyYR6Q21VydFLVH3TRQUabQu_ym0Zz7PgGX0-kHA/edit?usp=sharing"",""แผน!AN49"")"),1)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IFERROR(__xludf.DUMMYFUNCTION("IMPORTRANGE(""https://docs.google.com/spreadsheets/d/1QqKyyYR6Q21VydFLVH3TRQUabQu_ym0Zz7PgGX0-kHA/edit?usp=sharing"",""แผน!AP49"")"),5000)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IFERROR(__xludf.DUMMYFUNCTION("IMPORTRANGE(""https://docs.google.com/spreadsheets/d/1QqKyyYR6Q21VydFLVH3TRQUabQu_ym0Zz7PgGX0-kHA/edit?usp=sharing"",""แผน!AQ49"")"),17600)</f>
        <v>17600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IFERROR(__xludf.DUMMYFUNCTION("IMPORTRANGE(""https://docs.google.com/spreadsheets/d/1QqKyyYR6Q21VydFLVH3TRQUabQu_ym0Zz7PgGX0-kHA/edit?usp=sharing"",""แผน!AT49"")"),64000)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IFERROR(__xludf.DUMMYFUNCTION("IMPORTRANGE(""https://docs.google.com/spreadsheets/d/1QqKyyYR6Q21VydFLVH3TRQUabQu_ym0Zz7PgGX0-kHA/edit?usp=sharing"",""แผน!AT49"")"),64000)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IFERROR(__xludf.DUMMYFUNCTION("IMPORTRANGE(""https://docs.google.com/spreadsheets/d/1MeEWN-I1oV_STSDYn1IFDPWt_1FKiwhDph83XaGc0o0/edit?usp=sharing"",""งบพรบ!CY49"")"),28800)</f>
        <v>28800</v>
      </c>
      <c r="M266" s="93">
        <f ca="1">IFERROR(__xludf.DUMMYFUNCTION("IMPORTRANGE(""https://docs.google.com/spreadsheets/d/1MeEWN-I1oV_STSDYn1IFDPWt_1FKiwhDph83XaGc0o0/edit?usp=sharing"",""งบพรบ!DD49"")"),25800)</f>
        <v>25800</v>
      </c>
      <c r="N266" s="93">
        <f ca="1">IFERROR(__xludf.DUMMYFUNCTION("IMPORTRANGE(""https://docs.google.com/spreadsheets/d/1MeEWN-I1oV_STSDYn1IFDPWt_1FKiwhDph83XaGc0o0/edit?usp=sharing"",""งบพรบ!DF49"")"),25800)</f>
        <v>25800</v>
      </c>
      <c r="O266" s="93">
        <f t="shared" ca="1" si="117"/>
        <v>89.583333333333329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IFERROR(__xludf.DUMMYFUNCTION("IMPORTRANGE(""https://docs.google.com/spreadsheets/d/1MeEWN-I1oV_STSDYn1IFDPWt_1FKiwhDph83XaGc0o0/edit?usp=sharing"",""งบพรบ!DB49"")"),0)</f>
        <v>0</v>
      </c>
      <c r="M269" s="93">
        <f ca="1">IFERROR(__xludf.DUMMYFUNCTION("IMPORTRANGE(""https://docs.google.com/spreadsheets/d/1MeEWN-I1oV_STSDYn1IFDPWt_1FKiwhDph83XaGc0o0/edit?usp=sharing"",""งบพรบ!DE49"")"),0)</f>
        <v>0</v>
      </c>
      <c r="N269" s="93">
        <f ca="1">IFERROR(__xludf.DUMMYFUNCTION("IMPORTRANGE(""https://docs.google.com/spreadsheets/d/1MeEWN-I1oV_STSDYn1IFDPWt_1FKiwhDph83XaGc0o0/edit?usp=sharing"",""งบพรบ!DG49"")"),0)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IFERROR(__xludf.DUMMYFUNCTION("IMPORTRANGE(""https://docs.google.com/spreadsheets/d/1QqKyyYR6Q21VydFLVH3TRQUabQu_ym0Zz7PgGX0-kHA/edit?usp=sharing"",""แผน!EA49"")"),24)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IFERROR(__xludf.DUMMYFUNCTION("IMPORTRANGE(""https://docs.google.com/spreadsheets/d/1MeEWN-I1oV_STSDYn1IFDPWt_1FKiwhDph83XaGc0o0/edit?usp=sharing"",""งบพรบ!DI49"")"),0)</f>
        <v>0</v>
      </c>
      <c r="M282" s="93">
        <f ca="1">IFERROR(__xludf.DUMMYFUNCTION("IMPORTRANGE(""https://docs.google.com/spreadsheets/d/1MeEWN-I1oV_STSDYn1IFDPWt_1FKiwhDph83XaGc0o0/edit?usp=sharing"",""งบพรบ!DN49"")"),0)</f>
        <v>0</v>
      </c>
      <c r="N282" s="93">
        <f ca="1">IFERROR(__xludf.DUMMYFUNCTION("IMPORTRANGE(""https://docs.google.com/spreadsheets/d/1MeEWN-I1oV_STSDYn1IFDPWt_1FKiwhDph83XaGc0o0/edit?usp=sharing"",""งบพรบ!DP49"")"),0)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IFERROR(__xludf.DUMMYFUNCTION("IMPORTRANGE(""https://docs.google.com/spreadsheets/d/1MeEWN-I1oV_STSDYn1IFDPWt_1FKiwhDph83XaGc0o0/edit?usp=sharing"",""งบพรบ!DL49"")"),0)</f>
        <v>0</v>
      </c>
      <c r="M285" s="93">
        <f ca="1">IFERROR(__xludf.DUMMYFUNCTION("IMPORTRANGE(""https://docs.google.com/spreadsheets/d/1MeEWN-I1oV_STSDYn1IFDPWt_1FKiwhDph83XaGc0o0/edit?usp=sharing"",""งบพรบ!DO49"")"),0)</f>
        <v>0</v>
      </c>
      <c r="N285" s="93">
        <f ca="1">IFERROR(__xludf.DUMMYFUNCTION("IMPORTRANGE(""https://docs.google.com/spreadsheets/d/1MeEWN-I1oV_STSDYn1IFDPWt_1FKiwhDph83XaGc0o0/edit?usp=sharing"",""งบพรบ!DQ49"")"),0)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IFERROR(__xludf.DUMMYFUNCTION("IMPORTRANGE(""https://docs.google.com/spreadsheets/d/1QqKyyYR6Q21VydFLVH3TRQUabQu_ym0Zz7PgGX0-kHA/edit?usp=sharing"",""แผน!EC49"")"),0)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IFERROR(__xludf.DUMMYFUNCTION("IMPORTRANGE(""https://docs.google.com/spreadsheets/d/1MeEWN-I1oV_STSDYn1IFDPWt_1FKiwhDph83XaGc0o0/edit?usp=sharing"",""งบพรบ!DS49"")"),0)</f>
        <v>0</v>
      </c>
      <c r="M303" s="93">
        <f ca="1">IFERROR(__xludf.DUMMYFUNCTION("IMPORTRANGE(""https://docs.google.com/spreadsheets/d/1MeEWN-I1oV_STSDYn1IFDPWt_1FKiwhDph83XaGc0o0/edit?usp=sharing"",""งบพรบ!DX49"")"),0)</f>
        <v>0</v>
      </c>
      <c r="N303" s="93">
        <f ca="1">IFERROR(__xludf.DUMMYFUNCTION("IMPORTRANGE(""https://docs.google.com/spreadsheets/d/1MeEWN-I1oV_STSDYn1IFDPWt_1FKiwhDph83XaGc0o0/edit?usp=sharing"",""งบพรบ!DZ49"")"),0)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IFERROR(__xludf.DUMMYFUNCTION("IMPORTRANGE(""https://docs.google.com/spreadsheets/d/1MeEWN-I1oV_STSDYn1IFDPWt_1FKiwhDph83XaGc0o0/edit?usp=sharing"",""งบพรบ!DV49"")"),0)</f>
        <v>0</v>
      </c>
      <c r="M306" s="93">
        <f ca="1">IFERROR(__xludf.DUMMYFUNCTION("IMPORTRANGE(""https://docs.google.com/spreadsheets/d/1MeEWN-I1oV_STSDYn1IFDPWt_1FKiwhDph83XaGc0o0/edit?usp=sharing"",""งบพรบ!DY49"")"),0)</f>
        <v>0</v>
      </c>
      <c r="N306" s="93">
        <f ca="1">IFERROR(__xludf.DUMMYFUNCTION("IMPORTRANGE(""https://docs.google.com/spreadsheets/d/1MeEWN-I1oV_STSDYn1IFDPWt_1FKiwhDph83XaGc0o0/edit?usp=sharing"",""งบพรบ!EA49"")"),0)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IFERROR(__xludf.DUMMYFUNCTION("IMPORTRANGE(""https://docs.google.com/spreadsheets/d/1MeEWN-I1oV_STSDYn1IFDPWt_1FKiwhDph83XaGc0o0/edit?usp=sharing"",""งบพรบ!EC49"")"),0)</f>
        <v>0</v>
      </c>
      <c r="M320" s="93">
        <f ca="1">IFERROR(__xludf.DUMMYFUNCTION("IMPORTRANGE(""https://docs.google.com/spreadsheets/d/1MeEWN-I1oV_STSDYn1IFDPWt_1FKiwhDph83XaGc0o0/edit?usp=sharing"",""งบพรบ!EH49"")"),0)</f>
        <v>0</v>
      </c>
      <c r="N320" s="93">
        <f ca="1">IFERROR(__xludf.DUMMYFUNCTION("IMPORTRANGE(""https://docs.google.com/spreadsheets/d/1MeEWN-I1oV_STSDYn1IFDPWt_1FKiwhDph83XaGc0o0/edit?usp=sharing"",""งบพรบ!EJ49"")"),0)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IFERROR(__xludf.DUMMYFUNCTION("IMPORTRANGE(""https://docs.google.com/spreadsheets/d/1MeEWN-I1oV_STSDYn1IFDPWt_1FKiwhDph83XaGc0o0/edit?usp=sharing"",""งบพรบ!EF49"")"),0)</f>
        <v>0</v>
      </c>
      <c r="M323" s="93">
        <f ca="1">IFERROR(__xludf.DUMMYFUNCTION("IMPORTRANGE(""https://docs.google.com/spreadsheets/d/1MeEWN-I1oV_STSDYn1IFDPWt_1FKiwhDph83XaGc0o0/edit?usp=sharing"",""งบพรบ!EI49"")"),0)</f>
        <v>0</v>
      </c>
      <c r="N323" s="93">
        <f ca="1">IFERROR(__xludf.DUMMYFUNCTION("IMPORTRANGE(""https://docs.google.com/spreadsheets/d/1MeEWN-I1oV_STSDYn1IFDPWt_1FKiwhDph83XaGc0o0/edit?usp=sharing"",""งบพรบ!EK49"")"),0)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IFERROR(__xludf.DUMMYFUNCTION("IMPORTRANGE(""https://docs.google.com/spreadsheets/d/1QqKyyYR6Q21VydFLVH3TRQUabQu_ym0Zz7PgGX0-kHA/edit?usp=sharing"",""แผน!EG49"")"),1900)</f>
        <v>1900</v>
      </c>
      <c r="J327" s="444">
        <f ca="1">J338+J341+J342+J343</f>
        <v>1753</v>
      </c>
      <c r="K327" s="445">
        <f ca="1">IF(I327&gt;0,J327*100/I327,0)</f>
        <v>92.263157894736835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76360</v>
      </c>
      <c r="O328" s="155">
        <f t="shared" ref="O328:O336" ca="1" si="150">IF(L328&gt;0,N328*100/L328,0)</f>
        <v>46</v>
      </c>
      <c r="P328" s="155">
        <f t="shared" ref="P328:P336" ca="1" si="151">IF(M328&gt;0,N328*100/M328,0)</f>
        <v>60.125984251968504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76360</v>
      </c>
      <c r="O330" s="93">
        <f t="shared" ca="1" si="150"/>
        <v>46</v>
      </c>
      <c r="P330" s="93">
        <f t="shared" ca="1" si="151"/>
        <v>60.125984251968504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76360</v>
      </c>
      <c r="O331" s="497">
        <f t="shared" ca="1" si="150"/>
        <v>46</v>
      </c>
      <c r="P331" s="497">
        <f t="shared" ca="1" si="151"/>
        <v>60.125984251968504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IFERROR(__xludf.DUMMYFUNCTION("IMPORTRANGE(""https://docs.google.com/spreadsheets/d/1MeEWN-I1oV_STSDYn1IFDPWt_1FKiwhDph83XaGc0o0/edit?usp=sharing"",""งบพรบ!EM49"")"),166000)</f>
        <v>166000</v>
      </c>
      <c r="M333" s="93">
        <f ca="1">IFERROR(__xludf.DUMMYFUNCTION("IMPORTRANGE(""https://docs.google.com/spreadsheets/d/1MeEWN-I1oV_STSDYn1IFDPWt_1FKiwhDph83XaGc0o0/edit?usp=sharing"",""งบพรบ!ER49"")"),127000)</f>
        <v>127000</v>
      </c>
      <c r="N333" s="93">
        <f ca="1">IFERROR(__xludf.DUMMYFUNCTION("IMPORTRANGE(""https://docs.google.com/spreadsheets/d/1MeEWN-I1oV_STSDYn1IFDPWt_1FKiwhDph83XaGc0o0/edit?usp=sharing"",""งบพรบ!ET49"")"),76360)</f>
        <v>76360</v>
      </c>
      <c r="O333" s="93">
        <f t="shared" ca="1" si="150"/>
        <v>46</v>
      </c>
      <c r="P333" s="93">
        <f t="shared" ca="1" si="151"/>
        <v>60.125984251968504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IFERROR(__xludf.DUMMYFUNCTION("IMPORTRANGE(""https://docs.google.com/spreadsheets/d/1MeEWN-I1oV_STSDYn1IFDPWt_1FKiwhDph83XaGc0o0/edit?usp=sharing"",""งบพรบ!EP49"")"),0)</f>
        <v>0</v>
      </c>
      <c r="M336" s="93">
        <f ca="1">IFERROR(__xludf.DUMMYFUNCTION("IMPORTRANGE(""https://docs.google.com/spreadsheets/d/1MeEWN-I1oV_STSDYn1IFDPWt_1FKiwhDph83XaGc0o0/edit?usp=sharing"",""งบพรบ!ES49"")"),0)</f>
        <v>0</v>
      </c>
      <c r="N336" s="93">
        <f ca="1">IFERROR(__xludf.DUMMYFUNCTION("IMPORTRANGE(""https://docs.google.com/spreadsheets/d/1MeEWN-I1oV_STSDYn1IFDPWt_1FKiwhDph83XaGc0o0/edit?usp=sharing"",""งบพรบ!EU49"")"),0)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IFERROR(__xludf.DUMMYFUNCTION("IMPORTRANGE(""https://docs.google.com/spreadsheets/d/1QqKyyYR6Q21VydFLVH3TRQUabQu_ym0Zz7PgGX0-kHA/edit?usp=sharing"",""แผน!EG49"")"),1900)</f>
        <v>1900</v>
      </c>
      <c r="J338" s="270">
        <f ca="1">IFERROR(__xludf.DUMMYFUNCTION("IMPORTRANGE(""https://docs.google.com/spreadsheets/d/1kVcqe37tkHyjCSG3S0O1AXqVkqjo8mSIZil3BcpIysc/edit?usp=sharing"",""ศูนย์!D49"")"),1509)</f>
        <v>1509</v>
      </c>
      <c r="K338" s="497">
        <f ca="1">IF(I338&gt;0,J338*100/I338,0)</f>
        <v>79.421052631578945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IFERROR(__xludf.DUMMYFUNCTION("IMPORTRANGE(""https://docs.google.com/spreadsheets/d/1QqKyyYR6Q21VydFLVH3TRQUabQu_ym0Zz7PgGX0-kHA/edit?usp=sharing"",""แผน!EH49"")"),4)</f>
        <v>4</v>
      </c>
      <c r="J340" s="270">
        <f ca="1">IFERROR(__xludf.DUMMYFUNCTION("IMPORTRANGE(""https://docs.google.com/spreadsheets/d/1kVcqe37tkHyjCSG3S0O1AXqVkqjo8mSIZil3BcpIysc/edit?usp=sharing"",""ศูนย์!E49"")"),2)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IFERROR(__xludf.DUMMYFUNCTION("IMPORTRANGE(""https://docs.google.com/spreadsheets/d/1kVcqe37tkHyjCSG3S0O1AXqVkqjo8mSIZil3BcpIysc/edit?usp=sharing"",""ศูนย์!F49"")"),193)</f>
        <v>193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IFERROR(__xludf.DUMMYFUNCTION("IMPORTRANGE(""https://docs.google.com/spreadsheets/d/1kVcqe37tkHyjCSG3S0O1AXqVkqjo8mSIZil3BcpIysc/edit?usp=sharing"",""ศูนย์!H49"")"),51)</f>
        <v>51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825530</v>
      </c>
      <c r="M345" s="155">
        <f t="shared" ca="1" si="155"/>
        <v>664610</v>
      </c>
      <c r="N345" s="155">
        <f t="shared" ca="1" si="155"/>
        <v>537185</v>
      </c>
      <c r="O345" s="155">
        <f t="shared" ref="O345:O353" ca="1" si="156">IF(L345&gt;0,N345*100/L345,0)</f>
        <v>65.071529805094912</v>
      </c>
      <c r="P345" s="155">
        <f t="shared" ref="P345:P353" ca="1" si="157">IF(M345&gt;0,N345*100/M345,0)</f>
        <v>80.827101608462101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825530</v>
      </c>
      <c r="M347" s="93">
        <f t="shared" ca="1" si="158"/>
        <v>664610</v>
      </c>
      <c r="N347" s="93">
        <f t="shared" ca="1" si="158"/>
        <v>537185</v>
      </c>
      <c r="O347" s="93">
        <f t="shared" ca="1" si="156"/>
        <v>65.071529805094912</v>
      </c>
      <c r="P347" s="93">
        <f t="shared" ca="1" si="157"/>
        <v>80.827101608462101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730130</v>
      </c>
      <c r="M348" s="497">
        <f t="shared" ca="1" si="159"/>
        <v>569210</v>
      </c>
      <c r="N348" s="497">
        <f t="shared" ca="1" si="159"/>
        <v>441785</v>
      </c>
      <c r="O348" s="497">
        <f t="shared" ca="1" si="156"/>
        <v>60.507717803678794</v>
      </c>
      <c r="P348" s="497">
        <f t="shared" ca="1" si="157"/>
        <v>77.61371022996785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IFERROR(__xludf.DUMMYFUNCTION("IMPORTRANGE(""https://docs.google.com/spreadsheets/d/1MeEWN-I1oV_STSDYn1IFDPWt_1FKiwhDph83XaGc0o0/edit?usp=sharing"",""งบพรบ!EW49"")"),730130)</f>
        <v>730130</v>
      </c>
      <c r="M350" s="93">
        <f ca="1">IFERROR(__xludf.DUMMYFUNCTION("IMPORTRANGE(""https://docs.google.com/spreadsheets/d/1MeEWN-I1oV_STSDYn1IFDPWt_1FKiwhDph83XaGc0o0/edit?usp=sharing"",""งบพรบ!FB49"")"),569210)</f>
        <v>569210</v>
      </c>
      <c r="N350" s="93">
        <f ca="1">IFERROR(__xludf.DUMMYFUNCTION("IMPORTRANGE(""https://docs.google.com/spreadsheets/d/1MeEWN-I1oV_STSDYn1IFDPWt_1FKiwhDph83XaGc0o0/edit?usp=sharing"",""งบพรบ!FD49"")"),441785)</f>
        <v>441785</v>
      </c>
      <c r="O350" s="93">
        <f t="shared" ca="1" si="156"/>
        <v>60.507717803678794</v>
      </c>
      <c r="P350" s="93">
        <f t="shared" ca="1" si="157"/>
        <v>77.61371022996785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95400</v>
      </c>
      <c r="M351" s="497">
        <f t="shared" ca="1" si="160"/>
        <v>95400</v>
      </c>
      <c r="N351" s="497">
        <f t="shared" ca="1" si="160"/>
        <v>95400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IFERROR(__xludf.DUMMYFUNCTION("IMPORTRANGE(""https://docs.google.com/spreadsheets/d/1MeEWN-I1oV_STSDYn1IFDPWt_1FKiwhDph83XaGc0o0/edit?usp=sharing"",""งบพรบ!EZ49"")"),95400)</f>
        <v>95400</v>
      </c>
      <c r="M353" s="93">
        <f ca="1">IFERROR(__xludf.DUMMYFUNCTION("IMPORTRANGE(""https://docs.google.com/spreadsheets/d/1MeEWN-I1oV_STSDYn1IFDPWt_1FKiwhDph83XaGc0o0/edit?usp=sharing"",""งบพรบ!FC49"")"),95400)</f>
        <v>95400</v>
      </c>
      <c r="N353" s="93">
        <f ca="1">IFERROR(__xludf.DUMMYFUNCTION("IMPORTRANGE(""https://docs.google.com/spreadsheets/d/1MeEWN-I1oV_STSDYn1IFDPWt_1FKiwhDph83XaGc0o0/edit?usp=sharing"",""งบพรบ!FE49"")"),95400)</f>
        <v>95400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IFERROR(__xludf.DUMMYFUNCTION("IMPORTRANGE(""https://docs.google.com/spreadsheets/d/1QqKyyYR6Q21VydFLVH3TRQUabQu_ym0Zz7PgGX0-kHA/edit?usp=sharing"",""แผน!EP49"")"),210)</f>
        <v>210</v>
      </c>
      <c r="J355" s="464">
        <f ca="1">J362</f>
        <v>112</v>
      </c>
      <c r="K355" s="465">
        <f ca="1">IF(I355&gt;0,J355*100/I355,0)</f>
        <v>53.333333333333336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IFERROR(__xludf.DUMMYFUNCTION("IMPORTRANGE(""https://docs.google.com/spreadsheets/d/1XWAQStnk-4SwqDmLtmXYiTMKHgktTP8We1SCoS47DrQ/edit?usp=sharing"",""จัดที่ดิน!W49"")"),167)</f>
        <v>167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IFERROR(__xludf.DUMMYFUNCTION("IMPORTRANGE(""https://docs.google.com/spreadsheets/d/1QqKyyYR6Q21VydFLVH3TRQUabQu_ym0Zz7PgGX0-kHA/edit?usp=sharing"",""แผน!EO49"")"),2000)</f>
        <v>2000</v>
      </c>
      <c r="J359" s="270">
        <f ca="1">IFERROR(__xludf.DUMMYFUNCTION("IMPORTRANGE(""https://docs.google.com/spreadsheets/d/1XWAQStnk-4SwqDmLtmXYiTMKHgktTP8We1SCoS47DrQ/edit?usp=sharing"",""จัดที่ดิน!X49"")"),1052.38)</f>
        <v>1052.3800000000001</v>
      </c>
      <c r="K359" s="497">
        <f t="shared" ca="1" si="161"/>
        <v>52.619000000000007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IFERROR(__xludf.DUMMYFUNCTION("IMPORTRANGE(""https://docs.google.com/spreadsheets/d/1QqKyyYR6Q21VydFLVH3TRQUabQu_ym0Zz7PgGX0-kHA/edit?usp=sharing"",""แผน!EP49"")"),210)</f>
        <v>210</v>
      </c>
      <c r="J360" s="270">
        <f ca="1">IFERROR(__xludf.DUMMYFUNCTION("IMPORTRANGE(""https://docs.google.com/spreadsheets/d/1XWAQStnk-4SwqDmLtmXYiTMKHgktTP8We1SCoS47DrQ/edit?usp=sharing"",""จัดที่ดิน!Y49"")"),142)</f>
        <v>142</v>
      </c>
      <c r="K360" s="497">
        <f t="shared" ca="1" si="161"/>
        <v>67.61904761904762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IFERROR(__xludf.DUMMYFUNCTION("IMPORTRANGE(""https://docs.google.com/spreadsheets/d/1XWAQStnk-4SwqDmLtmXYiTMKHgktTP8We1SCoS47DrQ/edit?usp=sharing"",""จัดที่ดิน!Z49"")"),895.41)</f>
        <v>895.41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IFERROR(__xludf.DUMMYFUNCTION("IMPORTRANGE(""https://docs.google.com/spreadsheets/d/1QqKyyYR6Q21VydFLVH3TRQUabQu_ym0Zz7PgGX0-kHA/edit?usp=sharing"",""แผน!EP49"")"),210)</f>
        <v>210</v>
      </c>
      <c r="J362" s="270">
        <f ca="1">IFERROR(__xludf.DUMMYFUNCTION("IMPORTRANGE(""https://docs.google.com/spreadsheets/d/1XWAQStnk-4SwqDmLtmXYiTMKHgktTP8We1SCoS47DrQ/edit?usp=sharing"",""จัดที่ดิน!AA49"")"),112)</f>
        <v>112</v>
      </c>
      <c r="K362" s="497">
        <f t="shared" ca="1" si="161"/>
        <v>53.333333333333336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IFERROR(__xludf.DUMMYFUNCTION("IMPORTRANGE(""https://docs.google.com/spreadsheets/d/1XWAQStnk-4SwqDmLtmXYiTMKHgktTP8We1SCoS47DrQ/edit?usp=sharing"",""จัดที่ดิน!AB49"")"),604.77)</f>
        <v>604.77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610</v>
      </c>
      <c r="J364" s="478">
        <f t="shared" ca="1" si="162"/>
        <v>375</v>
      </c>
      <c r="K364" s="479">
        <f t="shared" ca="1" si="161"/>
        <v>61.475409836065573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IFERROR(__xludf.DUMMYFUNCTION("IMPORTRANGE(""https://docs.google.com/spreadsheets/d/1QqKyyYR6Q21VydFLVH3TRQUabQu_ym0Zz7PgGX0-kHA/edit?usp=sharing"",""แผน!EJ49"")"),60)</f>
        <v>60</v>
      </c>
      <c r="J365" s="490">
        <f ca="1">J372</f>
        <v>68</v>
      </c>
      <c r="K365" s="491">
        <f t="shared" ca="1" si="161"/>
        <v>113.33333333333333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IFERROR(__xludf.DUMMYFUNCTION("IMPORTRANGE(""https://docs.google.com/spreadsheets/d/1XWAQStnk-4SwqDmLtmXYiTMKHgktTP8We1SCoS47DrQ/edit?usp=sharing"",""จัดที่ดิน!E49"")"),93)</f>
        <v>93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IFERROR(__xludf.DUMMYFUNCTION("IMPORTRANGE(""https://docs.google.com/spreadsheets/d/1QqKyyYR6Q21VydFLVH3TRQUabQu_ym0Zz7PgGX0-kHA/edit?usp=sharing"",""แผน!EI49"")"),500)</f>
        <v>500</v>
      </c>
      <c r="J369" s="270">
        <f ca="1">IFERROR(__xludf.DUMMYFUNCTION("IMPORTRANGE(""https://docs.google.com/spreadsheets/d/1XWAQStnk-4SwqDmLtmXYiTMKHgktTP8We1SCoS47DrQ/edit?usp=sharing"",""จัดที่ดิน!F49"")"),519.09)</f>
        <v>519.09</v>
      </c>
      <c r="K369" s="497">
        <f t="shared" ca="1" si="163"/>
        <v>103.818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IFERROR(__xludf.DUMMYFUNCTION("IMPORTRANGE(""https://docs.google.com/spreadsheets/d/1QqKyyYR6Q21VydFLVH3TRQUabQu_ym0Zz7PgGX0-kHA/edit?usp=sharing"",""แผน!EJ49"")"),60)</f>
        <v>60</v>
      </c>
      <c r="J370" s="270">
        <f ca="1">IFERROR(__xludf.DUMMYFUNCTION("IMPORTRANGE(""https://docs.google.com/spreadsheets/d/1XWAQStnk-4SwqDmLtmXYiTMKHgktTP8We1SCoS47DrQ/edit?usp=sharing"",""จัดที่ดิน!G49"")"),68)</f>
        <v>68</v>
      </c>
      <c r="K370" s="497">
        <f t="shared" ca="1" si="163"/>
        <v>113.33333333333333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IFERROR(__xludf.DUMMYFUNCTION("IMPORTRANGE(""https://docs.google.com/spreadsheets/d/1XWAQStnk-4SwqDmLtmXYiTMKHgktTP8We1SCoS47DrQ/edit?usp=sharing"",""จัดที่ดิน!H49"")"),362.12)</f>
        <v>362.12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IFERROR(__xludf.DUMMYFUNCTION("IMPORTRANGE(""https://docs.google.com/spreadsheets/d/1QqKyyYR6Q21VydFLVH3TRQUabQu_ym0Zz7PgGX0-kHA/edit?usp=sharing"",""แผน!EJ49"")"),60)</f>
        <v>60</v>
      </c>
      <c r="J372" s="270">
        <f ca="1">IFERROR(__xludf.DUMMYFUNCTION("IMPORTRANGE(""https://docs.google.com/spreadsheets/d/1XWAQStnk-4SwqDmLtmXYiTMKHgktTP8We1SCoS47DrQ/edit?usp=sharing"",""จัดที่ดิน!I49"")"),68)</f>
        <v>68</v>
      </c>
      <c r="K372" s="497">
        <f t="shared" ca="1" si="163"/>
        <v>113.33333333333333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IFERROR(__xludf.DUMMYFUNCTION("IMPORTRANGE(""https://docs.google.com/spreadsheets/d/1XWAQStnk-4SwqDmLtmXYiTMKHgktTP8We1SCoS47DrQ/edit?usp=sharing"",""จัดที่ดิน!J49"")"),362.12)</f>
        <v>362.12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IFERROR(__xludf.DUMMYFUNCTION("IMPORTRANGE(""https://docs.google.com/spreadsheets/d/1QqKyyYR6Q21VydFLVH3TRQUabQu_ym0Zz7PgGX0-kHA/edit?usp=sharing"",""แผน!EU49"")"),550)</f>
        <v>550</v>
      </c>
      <c r="J374" s="490">
        <f ca="1">J381</f>
        <v>307</v>
      </c>
      <c r="K374" s="491">
        <f t="shared" ca="1" si="163"/>
        <v>55.81818181818182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IFERROR(__xludf.DUMMYFUNCTION("IMPORTRANGE(""https://docs.google.com/spreadsheets/d/1XWAQStnk-4SwqDmLtmXYiTMKHgktTP8We1SCoS47DrQ/edit?usp=sharing"",""จัดที่ดิน!AH49"")"),74)</f>
        <v>74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IFERROR(__xludf.DUMMYFUNCTION("IMPORTRANGE(""https://docs.google.com/spreadsheets/d/1QqKyyYR6Q21VydFLVH3TRQUabQu_ym0Zz7PgGX0-kHA/edit?usp=sharing"",""แผน!ET49"")"),1500)</f>
        <v>1500</v>
      </c>
      <c r="J378" s="270">
        <f ca="1">IFERROR(__xludf.DUMMYFUNCTION("IMPORTRANGE(""https://docs.google.com/spreadsheets/d/1XWAQStnk-4SwqDmLtmXYiTMKHgktTP8We1SCoS47DrQ/edit?usp=sharing"",""จัดที่ดิน!AI49"")"),533.29)</f>
        <v>533.29</v>
      </c>
      <c r="K378" s="497">
        <f t="shared" ca="1" si="164"/>
        <v>35.552666666666667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IFERROR(__xludf.DUMMYFUNCTION("IMPORTRANGE(""https://docs.google.com/spreadsheets/d/1QqKyyYR6Q21VydFLVH3TRQUabQu_ym0Zz7PgGX0-kHA/edit?usp=sharing"",""แผน!EU49"")"),550)</f>
        <v>550</v>
      </c>
      <c r="J379" s="270">
        <f ca="1">IFERROR(__xludf.DUMMYFUNCTION("IMPORTRANGE(""https://docs.google.com/spreadsheets/d/1XWAQStnk-4SwqDmLtmXYiTMKHgktTP8We1SCoS47DrQ/edit?usp=sharing"",""จัดที่ดิน!AJ49"")"),336)</f>
        <v>336</v>
      </c>
      <c r="K379" s="497">
        <f t="shared" ca="1" si="164"/>
        <v>61.090909090909093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IFERROR(__xludf.DUMMYFUNCTION("IMPORTRANGE(""https://docs.google.com/spreadsheets/d/1XWAQStnk-4SwqDmLtmXYiTMKHgktTP8We1SCoS47DrQ/edit?usp=sharing"",""จัดที่ดิน!AK49"")"),2800.63)</f>
        <v>2800.63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IFERROR(__xludf.DUMMYFUNCTION("IMPORTRANGE(""https://docs.google.com/spreadsheets/d/1QqKyyYR6Q21VydFLVH3TRQUabQu_ym0Zz7PgGX0-kHA/edit?usp=sharing"",""แผน!EU49"")"),550)</f>
        <v>550</v>
      </c>
      <c r="J381" s="270">
        <f ca="1">IFERROR(__xludf.DUMMYFUNCTION("IMPORTRANGE(""https://docs.google.com/spreadsheets/d/1XWAQStnk-4SwqDmLtmXYiTMKHgktTP8We1SCoS47DrQ/edit?usp=sharing"",""จัดที่ดิน!AL49"")"),307)</f>
        <v>307</v>
      </c>
      <c r="K381" s="497">
        <f t="shared" ca="1" si="164"/>
        <v>55.81818181818182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IFERROR(__xludf.DUMMYFUNCTION("IMPORTRANGE(""https://docs.google.com/spreadsheets/d/1XWAQStnk-4SwqDmLtmXYiTMKHgktTP8We1SCoS47DrQ/edit?usp=sharing"",""จัดที่ดิน!AM49"")"),2520.68)</f>
        <v>2520.6799999999998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IFERROR(__xludf.DUMMYFUNCTION("IMPORTRANGE(""https://docs.google.com/spreadsheets/d/1QqKyyYR6Q21VydFLVH3TRQUabQu_ym0Zz7PgGX0-kHA/edit?usp=sharing"",""แผน!EW49"")"),30)</f>
        <v>30</v>
      </c>
      <c r="J385" s="504">
        <f ca="1">IFERROR(__xludf.DUMMYFUNCTION("IMPORTRANGE(""https://docs.google.com/spreadsheets/d/1XWAQStnk-4SwqDmLtmXYiTMKHgktTP8We1SCoS47DrQ/edit?usp=sharing"",""จัดที่ดิน!AP49"")"),9)</f>
        <v>9</v>
      </c>
      <c r="K385" s="505">
        <f ca="1">IF(I385&gt;0,J385*100/I385,0)</f>
        <v>30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IFERROR(__xludf.DUMMYFUNCTION("IMPORTRANGE(""https://docs.google.com/spreadsheets/d/1MeEWN-I1oV_STSDYn1IFDPWt_1FKiwhDph83XaGc0o0/edit?usp=sharing"",""งบพรบ!FG49"")"),0)</f>
        <v>0</v>
      </c>
      <c r="M394" s="93">
        <f ca="1">IFERROR(__xludf.DUMMYFUNCTION("IMPORTRANGE(""https://docs.google.com/spreadsheets/d/1MeEWN-I1oV_STSDYn1IFDPWt_1FKiwhDph83XaGc0o0/edit?usp=sharing"",""งบพรบ!FL49"")"),0)</f>
        <v>0</v>
      </c>
      <c r="N394" s="93">
        <f ca="1">IFERROR(__xludf.DUMMYFUNCTION("IMPORTRANGE(""https://docs.google.com/spreadsheets/d/1MeEWN-I1oV_STSDYn1IFDPWt_1FKiwhDph83XaGc0o0/edit?usp=sharing"",""งบพรบ!FN49"")"),0)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IFERROR(__xludf.DUMMYFUNCTION("IMPORTRANGE(""https://docs.google.com/spreadsheets/d/1MeEWN-I1oV_STSDYn1IFDPWt_1FKiwhDph83XaGc0o0/edit?usp=sharing"",""งบพรบ!FJ49"")"),0)</f>
        <v>0</v>
      </c>
      <c r="M397" s="93">
        <f ca="1">IFERROR(__xludf.DUMMYFUNCTION("IMPORTRANGE(""https://docs.google.com/spreadsheets/d/1MeEWN-I1oV_STSDYn1IFDPWt_1FKiwhDph83XaGc0o0/edit?usp=sharing"",""งบพรบ!FM49"")"),0)</f>
        <v>0</v>
      </c>
      <c r="N397" s="93">
        <f ca="1">IFERROR(__xludf.DUMMYFUNCTION("IMPORTRANGE(""https://docs.google.com/spreadsheets/d/1MeEWN-I1oV_STSDYn1IFDPWt_1FKiwhDph83XaGc0o0/edit?usp=sharing"",""งบพรบ!FO49"")"),0)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IFERROR(__xludf.DUMMYFUNCTION("IMPORTRANGE(""https://docs.google.com/spreadsheets/d/1MeEWN-I1oV_STSDYn1IFDPWt_1FKiwhDph83XaGc0o0/edit?usp=sharing"",""งบพรบ!FQ49"")"),0)</f>
        <v>0</v>
      </c>
      <c r="M407" s="93">
        <f ca="1">IFERROR(__xludf.DUMMYFUNCTION("IMPORTRANGE(""https://docs.google.com/spreadsheets/d/1MeEWN-I1oV_STSDYn1IFDPWt_1FKiwhDph83XaGc0o0/edit?usp=sharing"",""งบพรบ!FV49"")"),0)</f>
        <v>0</v>
      </c>
      <c r="N407" s="93">
        <f ca="1">IFERROR(__xludf.DUMMYFUNCTION("IMPORTRANGE(""https://docs.google.com/spreadsheets/d/1MeEWN-I1oV_STSDYn1IFDPWt_1FKiwhDph83XaGc0o0/edit?usp=sharing"",""งบพรบ!FX49"")"),0)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IFERROR(__xludf.DUMMYFUNCTION("IMPORTRANGE(""https://docs.google.com/spreadsheets/d/1MeEWN-I1oV_STSDYn1IFDPWt_1FKiwhDph83XaGc0o0/edit?usp=sharing"",""งบพรบ!FT49"")"),0)</f>
        <v>0</v>
      </c>
      <c r="M410" s="93">
        <f ca="1">IFERROR(__xludf.DUMMYFUNCTION("IMPORTRANGE(""https://docs.google.com/spreadsheets/d/1MeEWN-I1oV_STSDYn1IFDPWt_1FKiwhDph83XaGc0o0/edit?usp=sharing"",""งบพรบ!FW49"")"),0)</f>
        <v>0</v>
      </c>
      <c r="N410" s="93">
        <f ca="1">IFERROR(__xludf.DUMMYFUNCTION("IMPORTRANGE(""https://docs.google.com/spreadsheets/d/1MeEWN-I1oV_STSDYn1IFDPWt_1FKiwhDph83XaGc0o0/edit?usp=sharing"",""งบพรบ!FY49"")"),0)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1488361</v>
      </c>
      <c r="M414" s="552">
        <f t="shared" ca="1" si="181"/>
        <v>1488361</v>
      </c>
      <c r="N414" s="552">
        <f t="shared" si="181"/>
        <v>336160</v>
      </c>
      <c r="O414" s="552">
        <f ca="1">IF(L414&gt;0,N414*100/L414,0)</f>
        <v>22.585918335672595</v>
      </c>
      <c r="P414" s="552">
        <f ca="1">IF(M414&gt;0,N414*100/M414,0)</f>
        <v>22.585918335672595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102860</v>
      </c>
      <c r="M419" s="155">
        <f t="shared" ca="1" si="184"/>
        <v>102860</v>
      </c>
      <c r="N419" s="155">
        <f t="shared" si="184"/>
        <v>44555</v>
      </c>
      <c r="O419" s="155">
        <f t="shared" ref="O419:O424" ca="1" si="185">IF(L419&gt;0,N419*100/L419,0)</f>
        <v>43.316157884503205</v>
      </c>
      <c r="P419" s="155">
        <f t="shared" ref="P419:P424" ca="1" si="186">IF(M419&gt;0,N419*100/M419,0)</f>
        <v>43.316157884503205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102860</v>
      </c>
      <c r="M421" s="93">
        <f t="shared" ca="1" si="187"/>
        <v>102860</v>
      </c>
      <c r="N421" s="93">
        <f t="shared" si="187"/>
        <v>44555</v>
      </c>
      <c r="O421" s="93">
        <f t="shared" ca="1" si="185"/>
        <v>43.316157884503205</v>
      </c>
      <c r="P421" s="93">
        <f t="shared" ca="1" si="186"/>
        <v>43.316157884503205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102860</v>
      </c>
      <c r="M422" s="497">
        <f t="shared" ca="1" si="188"/>
        <v>102860</v>
      </c>
      <c r="N422" s="497">
        <f t="shared" si="188"/>
        <v>44555</v>
      </c>
      <c r="O422" s="497">
        <f t="shared" ca="1" si="185"/>
        <v>43.316157884503205</v>
      </c>
      <c r="P422" s="497">
        <f t="shared" ca="1" si="186"/>
        <v>43.316157884503205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IFERROR(__xludf.DUMMYFUNCTION("IMPORTRANGE(""https://docs.google.com/spreadsheets/d/1QqKyyYR6Q21VydFLVH3TRQUabQu_ym0Zz7PgGX0-kHA/edit?usp=sharing"",""แผน!EY49"")"),102860)</f>
        <v>102860</v>
      </c>
      <c r="M424" s="93">
        <f ca="1">L424</f>
        <v>102860</v>
      </c>
      <c r="N424" s="93">
        <f>N425+N426+N427+N428</f>
        <v>44555</v>
      </c>
      <c r="O424" s="93">
        <f t="shared" ca="1" si="185"/>
        <v>43.316157884503205</v>
      </c>
      <c r="P424" s="93">
        <f t="shared" ca="1" si="186"/>
        <v>43.316157884503205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16055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28500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30</v>
      </c>
      <c r="J442" s="588">
        <f t="shared" si="195"/>
        <v>15</v>
      </c>
      <c r="K442" s="589">
        <f t="shared" ca="1" si="194"/>
        <v>50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75</v>
      </c>
      <c r="K443" s="569">
        <f t="shared" ca="1" si="194"/>
        <v>50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211480</v>
      </c>
      <c r="M444" s="195">
        <f t="shared" ca="1" si="197"/>
        <v>211480</v>
      </c>
      <c r="N444" s="195">
        <f t="shared" si="197"/>
        <v>26325</v>
      </c>
      <c r="O444" s="195">
        <f t="shared" ref="O444:O449" ca="1" si="198">IF(L444&gt;0,N444*100/L444,0)</f>
        <v>12.447985625118214</v>
      </c>
      <c r="P444" s="195">
        <f t="shared" ref="P444:P449" ca="1" si="199">IF(M444&gt;0,N444*100/M444,0)</f>
        <v>12.447985625118214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211480</v>
      </c>
      <c r="M446" s="93">
        <f t="shared" ca="1" si="200"/>
        <v>211480</v>
      </c>
      <c r="N446" s="93">
        <f t="shared" si="200"/>
        <v>26325</v>
      </c>
      <c r="O446" s="93">
        <f t="shared" ca="1" si="198"/>
        <v>12.447985625118214</v>
      </c>
      <c r="P446" s="93">
        <f t="shared" ca="1" si="199"/>
        <v>12.447985625118214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211480</v>
      </c>
      <c r="M447" s="497">
        <f t="shared" ca="1" si="201"/>
        <v>211480</v>
      </c>
      <c r="N447" s="497">
        <f t="shared" si="201"/>
        <v>26325</v>
      </c>
      <c r="O447" s="497">
        <f t="shared" ca="1" si="198"/>
        <v>12.447985625118214</v>
      </c>
      <c r="P447" s="497">
        <f t="shared" ca="1" si="199"/>
        <v>12.447985625118214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IFERROR(__xludf.DUMMYFUNCTION("IMPORTRANGE(""https://docs.google.com/spreadsheets/d/1QqKyyYR6Q21VydFLVH3TRQUabQu_ym0Zz7PgGX0-kHA/edit?usp=sharing"",""แผน!FJ49"")"),211480)</f>
        <v>211480</v>
      </c>
      <c r="M449" s="93">
        <f ca="1">L449</f>
        <v>211480</v>
      </c>
      <c r="N449" s="93">
        <f>N450+N451+N452+N453</f>
        <v>26325</v>
      </c>
      <c r="O449" s="93">
        <f t="shared" ca="1" si="198"/>
        <v>12.447985625118214</v>
      </c>
      <c r="P449" s="93">
        <f t="shared" ca="1" si="199"/>
        <v>12.447985625118214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23635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450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2240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IFERROR(__xludf.DUMMYFUNCTION("IMPORTRANGE(""https://docs.google.com/spreadsheets/d/1QqKyyYR6Q21VydFLVH3TRQUabQu_ym0Zz7PgGX0-kHA/edit?usp=sharing"",""แผน!FN49"")"),30)</f>
        <v>30</v>
      </c>
      <c r="J460" s="215">
        <v>15</v>
      </c>
      <c r="K460" s="497">
        <f ca="1">IF(I460&gt;0,J460*100/I460,0)</f>
        <v>50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IFERROR(__xludf.DUMMYFUNCTION("IMPORTRANGE(""https://docs.google.com/spreadsheets/d/1QqKyyYR6Q21VydFLVH3TRQUabQu_ym0Zz7PgGX0-kHA/edit?usp=sharing"",""แผน!FO49"")"),150)</f>
        <v>150</v>
      </c>
      <c r="J462" s="215">
        <v>75</v>
      </c>
      <c r="K462" s="497">
        <f t="shared" ref="K462:K466" ca="1" si="205">IF(I462&gt;0,J462*100/I462,0)</f>
        <v>50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IFERROR(__xludf.DUMMYFUNCTION("IMPORTRANGE(""https://docs.google.com/spreadsheets/d/1QqKyyYR6Q21VydFLVH3TRQUabQu_ym0Zz7PgGX0-kHA/edit?usp=sharing"",""แผน!FO49"")"),150)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IFERROR(__xludf.DUMMYFUNCTION("IMPORTRANGE(""https://docs.google.com/spreadsheets/d/1QqKyyYR6Q21VydFLVH3TRQUabQu_ym0Zz7PgGX0-kHA/edit?usp=sharing"",""แผน!FN49"")"),30)</f>
        <v>30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IFERROR(__xludf.DUMMYFUNCTION("IMPORTRANGE(""https://docs.google.com/spreadsheets/d/1QqKyyYR6Q21VydFLVH3TRQUabQu_ym0Zz7PgGX0-kHA/edit?usp=sharing"",""แผน!FX49"")"),51)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IFERROR(__xludf.DUMMYFUNCTION("IMPORTRANGE(""https://docs.google.com/spreadsheets/d/1QqKyyYR6Q21VydFLVH3TRQUabQu_ym0Zz7PgGX0-kHA/edit?usp=sharing"",""แผน!FW49"")"),500)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414783</v>
      </c>
      <c r="M467" s="195">
        <f t="shared" ca="1" si="206"/>
        <v>414783</v>
      </c>
      <c r="N467" s="195">
        <f t="shared" si="206"/>
        <v>77565</v>
      </c>
      <c r="O467" s="195">
        <f t="shared" ref="O467:O472" ca="1" si="207">IF(L467&gt;0,N467*100/L467,0)</f>
        <v>18.70013959106328</v>
      </c>
      <c r="P467" s="195">
        <f t="shared" ref="P467:P472" ca="1" si="208">IF(M467&gt;0,N467*100/M467,0)</f>
        <v>18.70013959106328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414783</v>
      </c>
      <c r="M469" s="93">
        <f t="shared" ca="1" si="209"/>
        <v>414783</v>
      </c>
      <c r="N469" s="93">
        <f t="shared" si="209"/>
        <v>77565</v>
      </c>
      <c r="O469" s="93">
        <f t="shared" ca="1" si="207"/>
        <v>18.70013959106328</v>
      </c>
      <c r="P469" s="93">
        <f t="shared" ca="1" si="208"/>
        <v>18.70013959106328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414783</v>
      </c>
      <c r="M470" s="497">
        <f t="shared" ca="1" si="210"/>
        <v>414783</v>
      </c>
      <c r="N470" s="497">
        <f t="shared" si="210"/>
        <v>77565</v>
      </c>
      <c r="O470" s="497">
        <f t="shared" ca="1" si="207"/>
        <v>18.70013959106328</v>
      </c>
      <c r="P470" s="497">
        <f t="shared" ca="1" si="208"/>
        <v>18.70013959106328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IFERROR(__xludf.DUMMYFUNCTION("IMPORTRANGE(""https://docs.google.com/spreadsheets/d/1QqKyyYR6Q21VydFLVH3TRQUabQu_ym0Zz7PgGX0-kHA/edit?usp=sharing"",""แผน!FS49"")"),414783)</f>
        <v>414783</v>
      </c>
      <c r="M472" s="93">
        <f ca="1">L472</f>
        <v>414783</v>
      </c>
      <c r="N472" s="93">
        <f>N473+N474+N475+N476</f>
        <v>77565</v>
      </c>
      <c r="O472" s="93">
        <f t="shared" ca="1" si="207"/>
        <v>18.70013959106328</v>
      </c>
      <c r="P472" s="93">
        <f t="shared" ca="1" si="208"/>
        <v>18.70013959106328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56250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1875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19440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IFERROR(__xludf.DUMMYFUNCTION("IMPORTRANGE(""https://docs.google.com/spreadsheets/d/1QqKyyYR6Q21VydFLVH3TRQUabQu_ym0Zz7PgGX0-kHA/edit?usp=sharing"",""แผน!FY49"")"),450)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IFERROR(__xludf.DUMMYFUNCTION("IMPORTRANGE(""https://docs.google.com/spreadsheets/d/1QqKyyYR6Q21VydFLVH3TRQUabQu_ym0Zz7PgGX0-kHA/edit?usp=sharing"",""แผน!GA49"")"),50)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22152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397413</v>
      </c>
      <c r="M544" s="155">
        <f t="shared" ca="1" si="236"/>
        <v>397413</v>
      </c>
      <c r="N544" s="155">
        <f t="shared" si="236"/>
        <v>105715</v>
      </c>
      <c r="O544" s="155">
        <f t="shared" ref="O544:O549" ca="1" si="237">IF(L544&gt;0,N544*100/L544,0)</f>
        <v>26.600790613291462</v>
      </c>
      <c r="P544" s="155">
        <f t="shared" ref="P544:P549" ca="1" si="238">IF(M544&gt;0,N544*100/M544,0)</f>
        <v>26.600790613291462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397413</v>
      </c>
      <c r="M546" s="93">
        <f t="shared" ca="1" si="240"/>
        <v>397413</v>
      </c>
      <c r="N546" s="93">
        <f t="shared" si="240"/>
        <v>105715</v>
      </c>
      <c r="O546" s="93">
        <f t="shared" ca="1" si="237"/>
        <v>26.600790613291462</v>
      </c>
      <c r="P546" s="93">
        <f t="shared" ca="1" si="238"/>
        <v>26.600790613291462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397413</v>
      </c>
      <c r="M547" s="497">
        <f t="shared" ca="1" si="241"/>
        <v>397413</v>
      </c>
      <c r="N547" s="497">
        <f t="shared" si="241"/>
        <v>105715</v>
      </c>
      <c r="O547" s="497">
        <f t="shared" ca="1" si="237"/>
        <v>26.600790613291462</v>
      </c>
      <c r="P547" s="497">
        <f t="shared" ca="1" si="238"/>
        <v>26.600790613291462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IFERROR(__xludf.DUMMYFUNCTION("IMPORTRANGE(""https://docs.google.com/spreadsheets/d/1QqKyyYR6Q21VydFLVH3TRQUabQu_ym0Zz7PgGX0-kHA/edit?usp=sharing"",""แผน!HB49"")"),397413)</f>
        <v>397413</v>
      </c>
      <c r="M549" s="93">
        <f ca="1">L549</f>
        <v>397413</v>
      </c>
      <c r="N549" s="93">
        <f>N550+N551+N552+N553+N554</f>
        <v>105715</v>
      </c>
      <c r="O549" s="93">
        <f t="shared" ca="1" si="237"/>
        <v>26.600790613291462</v>
      </c>
      <c r="P549" s="93">
        <f t="shared" ca="1" si="238"/>
        <v>26.600790613291462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65000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40715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22152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IFERROR(__xludf.DUMMYFUNCTION("IMPORTRANGE(""https://docs.google.com/spreadsheets/d/1QqKyyYR6Q21VydFLVH3TRQUabQu_ym0Zz7PgGX0-kHA/edit?usp=sharing"",""แผน!HH49"")"),22152)</f>
        <v>22152</v>
      </c>
      <c r="J560" s="193">
        <f t="shared" ref="J560:J561" si="247">J562+J564+J566</f>
        <v>22152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IFERROR(__xludf.DUMMYFUNCTION("IMPORTRANGE(""https://docs.google.com/spreadsheets/d/1QqKyyYR6Q21VydFLVH3TRQUabQu_ym0Zz7PgGX0-kHA/edit?usp=sharing"",""แผน!HG49"")"),1801)</f>
        <v>1801</v>
      </c>
      <c r="J561" s="193">
        <f t="shared" si="247"/>
        <v>1801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19211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1574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156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IFERROR(__xludf.DUMMYFUNCTION("IMPORTRANGE(""https://docs.google.com/spreadsheets/d/1QqKyyYR6Q21VydFLVH3TRQUabQu_ym0Zz7PgGX0-kHA/edit?usp=sharing"",""แผน!HH49"")"),22152)</f>
        <v>22152</v>
      </c>
      <c r="J568" s="679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IFERROR(__xludf.DUMMYFUNCTION("IMPORTRANGE(""https://docs.google.com/spreadsheets/d/1QqKyyYR6Q21VydFLVH3TRQUabQu_ym0Zz7PgGX0-kHA/edit?usp=sharing"",""แผน!HG49"")"),1801)</f>
        <v>1801</v>
      </c>
      <c r="J569" s="679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IFERROR(__xludf.DUMMYFUNCTION("IMPORTRANGE(""https://docs.google.com/spreadsheets/d/1QqKyyYR6Q21VydFLVH3TRQUabQu_ym0Zz7PgGX0-kHA/edit?usp=sharing"",""แผน!HH49"")"),22152)</f>
        <v>22152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IFERROR(__xludf.DUMMYFUNCTION("IMPORTRANGE(""https://docs.google.com/spreadsheets/d/1QqKyyYR6Q21VydFLVH3TRQUabQu_ym0Zz7PgGX0-kHA/edit?usp=sharing"",""แผน!HG49"")"),1801)</f>
        <v>1801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1063.5999999999999</v>
      </c>
      <c r="J592" s="706">
        <f t="shared" si="253"/>
        <v>1063.8499999999999</v>
      </c>
      <c r="K592" s="675">
        <f t="shared" ref="K592:K594" ca="1" si="254">IF(I592&gt;0,J592*100/I592,0)</f>
        <v>100.02350507709664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IFERROR(__xludf.DUMMYFUNCTION("IMPORTRANGE(""https://docs.google.com/spreadsheets/d/1QqKyyYR6Q21VydFLVH3TRQUabQu_ym0Zz7PgGX0-kHA/edit?usp=sharing"",""แผน!HJ49"")"),1063.6)</f>
        <v>1063.5999999999999</v>
      </c>
      <c r="J593" s="193">
        <f t="shared" ref="J593:J594" si="255">J595+J603+J609</f>
        <v>1063.8499999999999</v>
      </c>
      <c r="K593" s="411">
        <f t="shared" ca="1" si="254"/>
        <v>100.02350507709664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IFERROR(__xludf.DUMMYFUNCTION("IMPORTRANGE(""https://docs.google.com/spreadsheets/d/1QqKyyYR6Q21VydFLVH3TRQUabQu_ym0Zz7PgGX0-kHA/edit?usp=sharing"",""แผน!HI49"")"),385)</f>
        <v>385</v>
      </c>
      <c r="J594" s="193">
        <f t="shared" si="255"/>
        <v>385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1033.28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376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915">
        <v>1033.28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376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30.32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915">
        <v>30.32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915">
        <v>0.25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90</v>
      </c>
      <c r="J628" s="739">
        <f t="shared" ca="1" si="262"/>
        <v>4</v>
      </c>
      <c r="K628" s="740">
        <f ca="1">IF(I628&gt;0,J628*100/I628,0)</f>
        <v>4.4444444444444446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349485</v>
      </c>
      <c r="M629" s="195">
        <f t="shared" ca="1" si="263"/>
        <v>349485</v>
      </c>
      <c r="N629" s="195">
        <f t="shared" si="263"/>
        <v>80000</v>
      </c>
      <c r="O629" s="195">
        <f t="shared" ref="O629:O634" ca="1" si="264">IF(L629&gt;0,N629*100/L629,0)</f>
        <v>22.89082507117616</v>
      </c>
      <c r="P629" s="195">
        <f t="shared" ref="P629:P634" ca="1" si="265">IF(M629&gt;0,N629*100/M629,0)</f>
        <v>22.89082507117616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349485</v>
      </c>
      <c r="M631" s="93">
        <f t="shared" ca="1" si="266"/>
        <v>349485</v>
      </c>
      <c r="N631" s="93">
        <f t="shared" si="266"/>
        <v>80000</v>
      </c>
      <c r="O631" s="93">
        <f t="shared" ca="1" si="264"/>
        <v>22.89082507117616</v>
      </c>
      <c r="P631" s="93">
        <f t="shared" ca="1" si="265"/>
        <v>22.89082507117616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349485</v>
      </c>
      <c r="M632" s="497">
        <f t="shared" ca="1" si="267"/>
        <v>349485</v>
      </c>
      <c r="N632" s="497">
        <f t="shared" si="267"/>
        <v>80000</v>
      </c>
      <c r="O632" s="497">
        <f t="shared" ca="1" si="264"/>
        <v>22.89082507117616</v>
      </c>
      <c r="P632" s="497">
        <f t="shared" ca="1" si="265"/>
        <v>22.89082507117616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IFERROR(__xludf.DUMMYFUNCTION("IMPORTRANGE(""https://docs.google.com/spreadsheets/d/1QqKyyYR6Q21VydFLVH3TRQUabQu_ym0Zz7PgGX0-kHA/edit?usp=sharing"",""แผน!HN49"")"),349485)</f>
        <v>349485</v>
      </c>
      <c r="M634" s="93">
        <f ca="1">L634</f>
        <v>349485</v>
      </c>
      <c r="N634" s="93">
        <f>N635+N636+N637+N638</f>
        <v>80000</v>
      </c>
      <c r="O634" s="93">
        <f t="shared" ca="1" si="264"/>
        <v>22.89082507117616</v>
      </c>
      <c r="P634" s="93">
        <f t="shared" ca="1" si="265"/>
        <v>22.89082507117616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65000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15000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IFERROR(__xludf.DUMMYFUNCTION("IMPORTRANGE(""https://docs.google.com/spreadsheets/d/1XWAQStnk-4SwqDmLtmXYiTMKHgktTP8We1SCoS47DrQ/edit?usp=sharing"",""จัดที่ดิน!AS49"")"),32)</f>
        <v>32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IFERROR(__xludf.DUMMYFUNCTION("IMPORTRANGE(""https://docs.google.com/spreadsheets/d/1XWAQStnk-4SwqDmLtmXYiTMKHgktTP8We1SCoS47DrQ/edit?usp=sharing"",""จัดที่ดิน!AT49"")"),8.82)</f>
        <v>8.82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IFERROR(__xludf.DUMMYFUNCTION("IMPORTRANGE(""https://docs.google.com/spreadsheets/d/1QqKyyYR6Q21VydFLVH3TRQUabQu_ym0Zz7PgGX0-kHA/edit?usp=sharing"",""แผน!HS49"")"),90)</f>
        <v>90</v>
      </c>
      <c r="J647" s="270">
        <f ca="1">IFERROR(__xludf.DUMMYFUNCTION("IMPORTRANGE(""https://docs.google.com/spreadsheets/d/1XWAQStnk-4SwqDmLtmXYiTMKHgktTP8We1SCoS47DrQ/edit?usp=sharing"",""จัดที่ดิน!AU49"")"),4)</f>
        <v>4</v>
      </c>
      <c r="K647" s="163">
        <f t="shared" ca="1" si="271"/>
        <v>4.4444444444444446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IFERROR(__xludf.DUMMYFUNCTION("IMPORTRANGE(""https://docs.google.com/spreadsheets/d/1XWAQStnk-4SwqDmLtmXYiTMKHgktTP8We1SCoS47DrQ/edit?usp=sharing"",""จัดที่ดิน!AV49"")"),1.45)</f>
        <v>1.45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IFERROR(__xludf.DUMMYFUNCTION("IMPORTRANGE(""https://docs.google.com/spreadsheets/d/1QqKyyYR6Q21VydFLVH3TRQUabQu_ym0Zz7PgGX0-kHA/edit?usp=sharing"",""แผน!HS49"")"),90)</f>
        <v>90</v>
      </c>
      <c r="J649" s="270">
        <f ca="1">IFERROR(__xludf.DUMMYFUNCTION("IMPORTRANGE(""https://docs.google.com/spreadsheets/d/1XWAQStnk-4SwqDmLtmXYiTMKHgktTP8We1SCoS47DrQ/edit?usp=sharing"",""จัดที่ดิน!AW49"")"),4)</f>
        <v>4</v>
      </c>
      <c r="K649" s="163">
        <f t="shared" ca="1" si="271"/>
        <v>4.4444444444444446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IFERROR(__xludf.DUMMYFUNCTION("IMPORTRANGE(""https://docs.google.com/spreadsheets/d/1XWAQStnk-4SwqDmLtmXYiTMKHgktTP8We1SCoS47DrQ/edit?usp=sharing"",""จัดที่ดิน!AX49"")"),1.45)</f>
        <v>1.45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IFERROR(__xludf.DUMMYFUNCTION("IMPORTRANGE(""https://docs.google.com/spreadsheets/d/1QqKyyYR6Q21VydFLVH3TRQUabQu_ym0Zz7PgGX0-kHA/edit?usp=sharing"",""แผน!HS49"")"),90)</f>
        <v>90</v>
      </c>
      <c r="J651" s="270">
        <f ca="1">IFERROR(__xludf.DUMMYFUNCTION("IMPORTRANGE(""https://docs.google.com/spreadsheets/d/1XWAQStnk-4SwqDmLtmXYiTMKHgktTP8We1SCoS47DrQ/edit?usp=sharing"",""จัดที่ดิน!AY49"")"),4)</f>
        <v>4</v>
      </c>
      <c r="K651" s="163">
        <f t="shared" ca="1" si="271"/>
        <v>4.4444444444444446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IFERROR(__xludf.DUMMYFUNCTION("IMPORTRANGE(""https://docs.google.com/spreadsheets/d/1XWAQStnk-4SwqDmLtmXYiTMKHgktTP8We1SCoS47DrQ/edit?usp=sharing"",""จัดที่ดิน!AZ49"")"),1.4475)</f>
        <v>1.4475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2000</v>
      </c>
      <c r="O655" s="195">
        <f t="shared" ref="O655:O660" ca="1" si="274">IF(L655&gt;0,N655*100/L655,0)</f>
        <v>21.276595744680851</v>
      </c>
      <c r="P655" s="195">
        <f t="shared" ref="P655:P660" ca="1" si="275">IF(M655&gt;0,N655*100/M655,0)</f>
        <v>21.276595744680851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2000</v>
      </c>
      <c r="O657" s="93">
        <f t="shared" ca="1" si="274"/>
        <v>21.276595744680851</v>
      </c>
      <c r="P657" s="93">
        <f t="shared" ca="1" si="275"/>
        <v>21.276595744680851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2000</v>
      </c>
      <c r="O658" s="497">
        <f t="shared" ca="1" si="274"/>
        <v>21.276595744680851</v>
      </c>
      <c r="P658" s="497">
        <f t="shared" ca="1" si="275"/>
        <v>21.276595744680851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IFERROR(__xludf.DUMMYFUNCTION("IMPORTRANGE(""https://docs.google.com/spreadsheets/d/1QqKyyYR6Q21VydFLVH3TRQUabQu_ym0Zz7PgGX0-kHA/edit?usp=sharing"",""แผน!HV49"")"),9400)</f>
        <v>9400</v>
      </c>
      <c r="M660" s="93">
        <f ca="1">L660</f>
        <v>9400</v>
      </c>
      <c r="N660" s="93">
        <f>N661+N662+N663+N664</f>
        <v>2000</v>
      </c>
      <c r="O660" s="93">
        <f t="shared" ca="1" si="274"/>
        <v>21.276595744680851</v>
      </c>
      <c r="P660" s="93">
        <f t="shared" ca="1" si="275"/>
        <v>21.276595744680851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2000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IFERROR(__xludf.DUMMYFUNCTION("IMPORTRANGE(""https://docs.google.com/spreadsheets/d/1QqKyyYR6Q21VydFLVH3TRQUabQu_ym0Zz7PgGX0-kHA/edit?usp=sharing"",""แผน!IA49"")"),50)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183.75</v>
      </c>
      <c r="K672" s="497">
        <f t="shared" ref="K672:K675" ca="1" si="281">IF(I$669&gt;0,J672*100/I$669,0)</f>
        <v>367.5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184</v>
      </c>
      <c r="K673" s="497">
        <f t="shared" ca="1" si="281"/>
        <v>368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2940</v>
      </c>
      <c r="M685" s="195">
        <f t="shared" ca="1" si="282"/>
        <v>2940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2940</v>
      </c>
      <c r="M687" s="93">
        <f t="shared" ca="1" si="285"/>
        <v>2940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2940</v>
      </c>
      <c r="M688" s="497">
        <f t="shared" ca="1" si="286"/>
        <v>2940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IFERROR(__xludf.DUMMYFUNCTION("IMPORTRANGE(""https://docs.google.com/spreadsheets/d/1QqKyyYR6Q21VydFLVH3TRQUabQu_ym0Zz7PgGX0-kHA/edit?usp=sharing"",""แผน!HW49"")"),2940)</f>
        <v>2940</v>
      </c>
      <c r="M690" s="93">
        <f ca="1">L690</f>
        <v>2940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IFERROR(__xludf.DUMMYFUNCTION("IMPORTRANGE(""https://docs.google.com/spreadsheets/d/1QqKyyYR6Q21VydFLVH3TRQUabQu_ym0Zz7PgGX0-kHA/edit?usp=sharing"",""แผน!IC49"")"),18)</f>
        <v>18</v>
      </c>
      <c r="J699" s="270">
        <f ca="1">IFERROR(__xludf.DUMMYFUNCTION("IMPORTRANGE(""https://docs.google.com/spreadsheets/d/1XWAQStnk-4SwqDmLtmXYiTMKHgktTP8We1SCoS47DrQ/edit?usp=sharing"",""จัดที่ดิน!BB49"")"),0)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IFERROR(__xludf.DUMMYFUNCTION("IMPORTRANGE(""https://docs.google.com/spreadsheets/d/1QqKyyYR6Q21VydFLVH3TRQUabQu_ym0Zz7PgGX0-kHA/edit?usp=sharing"",""แผน!ID49"")"),0)</f>
        <v>0</v>
      </c>
      <c r="J700" s="270">
        <f ca="1">IFERROR(__xludf.DUMMYFUNCTION("IMPORTRANGE(""https://docs.google.com/spreadsheets/d/1XWAQStnk-4SwqDmLtmXYiTMKHgktTP8We1SCoS47DrQ/edit?usp=sharing"",""จัดที่ดิน!BD49"")"),0)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IFERROR(__xludf.DUMMYFUNCTION("IMPORTRANGE(""https://docs.google.com/spreadsheets/d/1QqKyyYR6Q21VydFLVH3TRQUabQu_ym0Zz7PgGX0-kHA/edit?usp=sharing"",""แผน!IH49"")"),7)</f>
        <v>7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IFERROR(__xludf.DUMMYFUNCTION("IMPORTRANGE(""https://docs.google.com/spreadsheets/d/1QqKyyYR6Q21VydFLVH3TRQUabQu_ym0Zz7PgGX0-kHA/edit?usp=sharing"",""แผน!II49"")"),0)</f>
        <v>0</v>
      </c>
      <c r="J720" s="270">
        <f ca="1">IFERROR(__xludf.DUMMYFUNCTION("IMPORTRANGE(""https://docs.google.com/spreadsheets/d/1XWAQStnk-4SwqDmLtmXYiTMKHgktTP8We1SCoS47DrQ/edit?usp=sharing"",""จัดที่ดิน!BH49"")"),0)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IFERROR(__xludf.DUMMYFUNCTION("IMPORTRANGE(""https://docs.google.com/spreadsheets/d/1QqKyyYR6Q21VydFLVH3TRQUabQu_ym0Zz7PgGX0-kHA/edit?usp=sharing"",""แผน!IL49"")"),0)</f>
        <v>0</v>
      </c>
      <c r="J723" s="270">
        <f ca="1">IFERROR(__xludf.DUMMYFUNCTION("IMPORTRANGE(""https://docs.google.com/spreadsheets/d/1XWAQStnk-4SwqDmLtmXYiTMKHgktTP8We1SCoS47DrQ/edit?usp=sharing"",""จัดที่ดิน!BM49"")"),0)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IFERROR(__xludf.DUMMYFUNCTION("IMPORTRANGE(""https://docs.google.com/spreadsheets/d/1QqKyyYR6Q21VydFLVH3TRQUabQu_ym0Zz7PgGX0-kHA/edit?usp=sharing"",""แผน!IM49"")"),0)</f>
        <v>0</v>
      </c>
      <c r="J725" s="270">
        <f ca="1">IFERROR(__xludf.DUMMYFUNCTION("IMPORTRANGE(""https://docs.google.com/spreadsheets/d/1XWAQStnk-4SwqDmLtmXYiTMKHgktTP8We1SCoS47DrQ/edit?usp=sharing"",""จัดที่ดิน!BO49"")"),0)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IFERROR(__xludf.DUMMYFUNCTION("IMPORTRANGE(""https://docs.google.com/spreadsheets/d/1QqKyyYR6Q21VydFLVH3TRQUabQu_ym0Zz7PgGX0-kHA/edit?usp=sharing"",""แผน!IN49"")"),0)</f>
        <v>0</v>
      </c>
      <c r="J726" s="270">
        <f ca="1">IFERROR(__xludf.DUMMYFUNCTION("IMPORTRANGE(""https://docs.google.com/spreadsheets/d/1XWAQStnk-4SwqDmLtmXYiTMKHgktTP8We1SCoS47DrQ/edit?usp=sharing"",""จัดที่ดิน!BR49"")"),0)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IFERROR(__xludf.DUMMYFUNCTION("IMPORTRANGE(""https://docs.google.com/spreadsheets/d/1QqKyyYR6Q21VydFLVH3TRQUabQu_ym0Zz7PgGX0-kHA/edit?usp=sharing"",""แผน!IO49"")"),0)</f>
        <v>0</v>
      </c>
      <c r="J728" s="270">
        <f ca="1">IFERROR(__xludf.DUMMYFUNCTION("IMPORTRANGE(""https://docs.google.com/spreadsheets/d/1XWAQStnk-4SwqDmLtmXYiTMKHgktTP8We1SCoS47DrQ/edit?usp=sharing"",""จัดที่ดิน!BT49"")"),0)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IFERROR(__xludf.DUMMYFUNCTION("IMPORTRANGE(""https://docs.google.com/spreadsheets/d/1QqKyyYR6Q21VydFLVH3TRQUabQu_ym0Zz7PgGX0-kHA/edit?usp=sharing"",""แผน!JN49"")"),0)</f>
        <v>0</v>
      </c>
      <c r="J800" s="184">
        <f ca="1">IFERROR(__xludf.DUMMYFUNCTION("IMPORTRANGE(""https://docs.google.com/spreadsheets/d/1MaWodYyGHDf7siQLGxnXhG4mBNTNIuy296niS2xXulU/edit?usp=sharing"",""RTK!H49"")"),0)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270">
        <f ca="1">IFERROR(__xludf.DUMMYFUNCTION("IMPORTRANGE(""https://docs.google.com/spreadsheets/d/19vJNZY_5yjcGF2XGBMNZRCAIB0Kwfpjp8YEOfu-bneM/edit?usp=sharing"",""งานกองทุน!F49"")"),3298641.58)</f>
        <v>3298641.58</v>
      </c>
      <c r="K821" s="497">
        <f t="shared" ref="K821:K828" ca="1" si="335">IF(I821&gt;0,J821*100/I821,0)</f>
        <v>69.828343388144404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IFERROR(__xludf.DUMMYFUNCTION("IMPORTRANGE(""https://docs.google.com/spreadsheets/d/19vJNZY_5yjcGF2XGBMNZRCAIB0Kwfpjp8YEOfu-bneM/edit?usp=sharing"",""งานกองทุน!C49"")"),416)</f>
        <v>416</v>
      </c>
      <c r="J822" s="270">
        <f ca="1">IFERROR(__xludf.DUMMYFUNCTION("IMPORTRANGE(""https://docs.google.com/spreadsheets/d/19vJNZY_5yjcGF2XGBMNZRCAIB0Kwfpjp8YEOfu-bneM/edit?usp=sharing"",""งานกองทุน!E49"")"),258)</f>
        <v>258</v>
      </c>
      <c r="K822" s="497">
        <f t="shared" ca="1" si="335"/>
        <v>62.019230769230766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270">
        <f ca="1">IFERROR(__xludf.DUMMYFUNCTION("IMPORTRANGE(""https://docs.google.com/spreadsheets/d/19vJNZY_5yjcGF2XGBMNZRCAIB0Kwfpjp8YEOfu-bneM/edit?usp=sharing"",""งานกองทุน!K49"")"),256387.61)</f>
        <v>256387.61</v>
      </c>
      <c r="K823" s="497">
        <f t="shared" ca="1" si="335"/>
        <v>7.7087962517804911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IFERROR(__xludf.DUMMYFUNCTION("IMPORTRANGE(""https://docs.google.com/spreadsheets/d/19vJNZY_5yjcGF2XGBMNZRCAIB0Kwfpjp8YEOfu-bneM/edit?usp=sharing"",""งานกองทุน!H49"")"),192)</f>
        <v>192</v>
      </c>
      <c r="J824" s="270">
        <f ca="1">IFERROR(__xludf.DUMMYFUNCTION("IMPORTRANGE(""https://docs.google.com/spreadsheets/d/19vJNZY_5yjcGF2XGBMNZRCAIB0Kwfpjp8YEOfu-bneM/edit?usp=sharing"",""งานกองทุน!J49"")"),69)</f>
        <v>69</v>
      </c>
      <c r="K824" s="497">
        <f t="shared" ca="1" si="335"/>
        <v>35.9375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IFERROR(__xludf.DUMMYFUNCTION("IMPORTRANGE(""https://docs.google.com/spreadsheets/d/19vJNZY_5yjcGF2XGBMNZRCAIB0Kwfpjp8YEOfu-bneM/edit?usp=sharing"",""งานกองทุน!N49"")"),0)</f>
        <v>0</v>
      </c>
      <c r="J825" s="270">
        <f ca="1">IFERROR(__xludf.DUMMYFUNCTION("IMPORTRANGE(""https://docs.google.com/spreadsheets/d/19vJNZY_5yjcGF2XGBMNZRCAIB0Kwfpjp8YEOfu-bneM/edit?usp=sharing"",""งานกองทุน!P49"")"),20827.48)</f>
        <v>20827.48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IFERROR(__xludf.DUMMYFUNCTION("IMPORTRANGE(""https://docs.google.com/spreadsheets/d/19vJNZY_5yjcGF2XGBMNZRCAIB0Kwfpjp8YEOfu-bneM/edit?usp=sharing"",""งานกองทุน!M49"")"),0)</f>
        <v>0</v>
      </c>
      <c r="J826" s="270">
        <f ca="1">IFERROR(__xludf.DUMMYFUNCTION("IMPORTRANGE(""https://docs.google.com/spreadsheets/d/19vJNZY_5yjcGF2XGBMNZRCAIB0Kwfpjp8YEOfu-bneM/edit?usp=sharing"",""งานกองทุน!O49"")"),8)</f>
        <v>8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IFERROR(__xludf.DUMMYFUNCTION("IMPORTRANGE(""https://docs.google.com/spreadsheets/d/19vJNZY_5yjcGF2XGBMNZRCAIB0Kwfpjp8YEOfu-bneM/edit?usp=sharing"",""งานกองทุน!S49"")"),5000000)</f>
        <v>5000000</v>
      </c>
      <c r="J827" s="270">
        <f ca="1">IFERROR(__xludf.DUMMYFUNCTION("IMPORTRANGE(""https://docs.google.com/spreadsheets/d/19vJNZY_5yjcGF2XGBMNZRCAIB0Kwfpjp8YEOfu-bneM/edit?usp=sharing"",""งานกองทุน!U49"")"),5000000)</f>
        <v>5000000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IFERROR(__xludf.DUMMYFUNCTION("IMPORTRANGE(""https://docs.google.com/spreadsheets/d/19vJNZY_5yjcGF2XGBMNZRCAIB0Kwfpjp8YEOfu-bneM/edit?usp=sharing"",""งานกองทุน!R49"")"),185)</f>
        <v>185</v>
      </c>
      <c r="J828" s="504">
        <f ca="1">IFERROR(__xludf.DUMMYFUNCTION("IMPORTRANGE(""https://docs.google.com/spreadsheets/d/19vJNZY_5yjcGF2XGBMNZRCAIB0Kwfpjp8YEOfu-bneM/edit?usp=sharing"",""งานกองทุน!T49"")"),160)</f>
        <v>160</v>
      </c>
      <c r="K828" s="505">
        <f t="shared" ca="1" si="335"/>
        <v>86.486486486486484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D14D2-3D58-493F-A49B-A4882BCC90C8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7.85546875" bestFit="1" customWidth="1"/>
    <col min="10" max="10" width="16.14062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6481547</v>
      </c>
      <c r="M8" s="22">
        <f t="shared" ca="1" si="0"/>
        <v>5789714.4800000004</v>
      </c>
      <c r="N8" s="22">
        <f t="shared" ca="1" si="0"/>
        <v>2996565.42</v>
      </c>
      <c r="O8" s="22">
        <f t="shared" ref="O8:O16" ca="1" si="1">IF(L8&gt;0,N8*100/L8,0)</f>
        <v>46.232256280792221</v>
      </c>
      <c r="P8" s="22">
        <f t="shared" ref="P8:P16" ca="1" si="2">IF(M8&gt;0,N8*100/M8,0)</f>
        <v>51.756704589688155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6481547</v>
      </c>
      <c r="M10" s="30">
        <f t="shared" ca="1" si="3"/>
        <v>5789714.4800000004</v>
      </c>
      <c r="N10" s="30">
        <f t="shared" ca="1" si="3"/>
        <v>2996565.42</v>
      </c>
      <c r="O10" s="30">
        <f t="shared" ca="1" si="1"/>
        <v>46.232256280792221</v>
      </c>
      <c r="P10" s="30">
        <f t="shared" ca="1" si="2"/>
        <v>51.756704589688155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6397747</v>
      </c>
      <c r="M11" s="497">
        <f t="shared" ca="1" si="4"/>
        <v>5705914.4800000004</v>
      </c>
      <c r="N11" s="497">
        <f t="shared" ca="1" si="4"/>
        <v>2912765.42</v>
      </c>
      <c r="O11" s="497">
        <f t="shared" ca="1" si="1"/>
        <v>45.527986961660098</v>
      </c>
      <c r="P11" s="497">
        <f t="shared" ca="1" si="2"/>
        <v>51.04817869615178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6397747</v>
      </c>
      <c r="M13" s="93">
        <f t="shared" ca="1" si="5"/>
        <v>5705914.4800000004</v>
      </c>
      <c r="N13" s="93">
        <f t="shared" ca="1" si="5"/>
        <v>2912765.42</v>
      </c>
      <c r="O13" s="93">
        <f t="shared" ca="1" si="1"/>
        <v>45.527986961660098</v>
      </c>
      <c r="P13" s="93">
        <f t="shared" ca="1" si="2"/>
        <v>51.04817869615178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83800</v>
      </c>
      <c r="M14" s="497">
        <f t="shared" ca="1" si="6"/>
        <v>83800</v>
      </c>
      <c r="N14" s="497">
        <f t="shared" ca="1" si="6"/>
        <v>83800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83800</v>
      </c>
      <c r="M16" s="52">
        <f t="shared" ca="1" si="7"/>
        <v>83800</v>
      </c>
      <c r="N16" s="52">
        <f t="shared" ca="1" si="7"/>
        <v>83800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3619460</v>
      </c>
      <c r="M18" s="22">
        <f t="shared" ca="1" si="8"/>
        <v>2927627.48</v>
      </c>
      <c r="N18" s="22">
        <f t="shared" ca="1" si="8"/>
        <v>2180390.84</v>
      </c>
      <c r="O18" s="22">
        <f t="shared" ref="O18:O26" ca="1" si="9">IF(L18&gt;0,N18*100/L18,0)</f>
        <v>60.240777353527875</v>
      </c>
      <c r="P18" s="22">
        <f t="shared" ref="P18:P26" ca="1" si="10">IF(M18&gt;0,N18*100/M18,0)</f>
        <v>74.476375662384484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3619460</v>
      </c>
      <c r="M20" s="30">
        <f t="shared" ca="1" si="11"/>
        <v>2927627.48</v>
      </c>
      <c r="N20" s="30">
        <f t="shared" ca="1" si="11"/>
        <v>2180390.84</v>
      </c>
      <c r="O20" s="30">
        <f t="shared" ca="1" si="9"/>
        <v>60.240777353527875</v>
      </c>
      <c r="P20" s="30">
        <f t="shared" ca="1" si="10"/>
        <v>74.476375662384484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3535660</v>
      </c>
      <c r="M21" s="497">
        <f t="shared" ca="1" si="12"/>
        <v>2843827.48</v>
      </c>
      <c r="N21" s="497">
        <f t="shared" ca="1" si="12"/>
        <v>2096590.84</v>
      </c>
      <c r="O21" s="497">
        <f t="shared" ca="1" si="9"/>
        <v>59.29842914759903</v>
      </c>
      <c r="P21" s="497">
        <f t="shared" ca="1" si="10"/>
        <v>73.724262626507851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3535660</v>
      </c>
      <c r="M23" s="93">
        <f t="shared" ca="1" si="13"/>
        <v>2843827.48</v>
      </c>
      <c r="N23" s="93">
        <f t="shared" ca="1" si="13"/>
        <v>2096590.84</v>
      </c>
      <c r="O23" s="93">
        <f t="shared" ca="1" si="9"/>
        <v>59.29842914759903</v>
      </c>
      <c r="P23" s="93">
        <f t="shared" ca="1" si="10"/>
        <v>73.724262626507851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83800</v>
      </c>
      <c r="M24" s="497">
        <f t="shared" ca="1" si="14"/>
        <v>83800</v>
      </c>
      <c r="N24" s="497">
        <f t="shared" ca="1" si="14"/>
        <v>83800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83800</v>
      </c>
      <c r="M26" s="52">
        <f t="shared" ca="1" si="15"/>
        <v>83800</v>
      </c>
      <c r="N26" s="52">
        <f t="shared" ca="1" si="15"/>
        <v>83800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2862087</v>
      </c>
      <c r="M28" s="22">
        <f t="shared" ca="1" si="16"/>
        <v>2862087</v>
      </c>
      <c r="N28" s="22">
        <f t="shared" si="16"/>
        <v>816174.58</v>
      </c>
      <c r="O28" s="22">
        <f t="shared" ref="O28:O37" ca="1" si="17">IF(L28&gt;0,N28*100/L28,0)</f>
        <v>28.516763466659121</v>
      </c>
      <c r="P28" s="22">
        <f t="shared" ref="P28:P37" ca="1" si="18">IF(M28&gt;0,N28*100/M28,0)</f>
        <v>28.516763466659121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2862087</v>
      </c>
      <c r="M30" s="30">
        <f t="shared" ca="1" si="19"/>
        <v>2862087</v>
      </c>
      <c r="N30" s="30">
        <f t="shared" si="19"/>
        <v>816174.58</v>
      </c>
      <c r="O30" s="30">
        <f t="shared" ca="1" si="17"/>
        <v>28.516763466659121</v>
      </c>
      <c r="P30" s="30">
        <f t="shared" ca="1" si="18"/>
        <v>28.516763466659121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2862087</v>
      </c>
      <c r="M31" s="497">
        <f t="shared" ca="1" si="20"/>
        <v>2862087</v>
      </c>
      <c r="N31" s="497">
        <f t="shared" si="20"/>
        <v>816174.58</v>
      </c>
      <c r="O31" s="497">
        <f t="shared" ca="1" si="17"/>
        <v>28.516763466659121</v>
      </c>
      <c r="P31" s="497">
        <f t="shared" ca="1" si="18"/>
        <v>28.516763466659121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2862087</v>
      </c>
      <c r="M33" s="93">
        <f t="shared" ca="1" si="21"/>
        <v>2862087</v>
      </c>
      <c r="N33" s="93">
        <f t="shared" si="21"/>
        <v>816174.58</v>
      </c>
      <c r="O33" s="93">
        <f t="shared" ca="1" si="17"/>
        <v>28.516763466659121</v>
      </c>
      <c r="P33" s="93">
        <f t="shared" ca="1" si="18"/>
        <v>28.516763466659121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3619460</v>
      </c>
      <c r="M37" s="870">
        <f t="shared" ca="1" si="24"/>
        <v>2927627.48</v>
      </c>
      <c r="N37" s="870">
        <f t="shared" ca="1" si="24"/>
        <v>2180390.84</v>
      </c>
      <c r="O37" s="870">
        <f t="shared" ca="1" si="17"/>
        <v>60.240777353527875</v>
      </c>
      <c r="P37" s="870">
        <f t="shared" ca="1" si="18"/>
        <v>74.476375662384484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746550</v>
      </c>
      <c r="M41" s="85">
        <f t="shared" ca="1" si="25"/>
        <v>761442.48</v>
      </c>
      <c r="N41" s="85">
        <f t="shared" ca="1" si="25"/>
        <v>480734.41</v>
      </c>
      <c r="O41" s="85">
        <f t="shared" ref="O41:O49" ca="1" si="26">IF(L41&gt;0,N41*100/L41,0)</f>
        <v>64.394134351349535</v>
      </c>
      <c r="P41" s="85">
        <f t="shared" ref="P41:P49" ca="1" si="27">IF(M41&gt;0,N41*100/M41,0)</f>
        <v>63.134697974822735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746550</v>
      </c>
      <c r="M43" s="92">
        <f t="shared" ca="1" si="28"/>
        <v>761442.48</v>
      </c>
      <c r="N43" s="92">
        <f t="shared" ca="1" si="28"/>
        <v>480734.41</v>
      </c>
      <c r="O43" s="92">
        <f t="shared" ca="1" si="26"/>
        <v>64.394134351349535</v>
      </c>
      <c r="P43" s="92">
        <f t="shared" ca="1" si="27"/>
        <v>63.134697974822735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746550</v>
      </c>
      <c r="M44" s="497">
        <f t="shared" ca="1" si="29"/>
        <v>761442.48</v>
      </c>
      <c r="N44" s="497">
        <f t="shared" ca="1" si="29"/>
        <v>480734.41</v>
      </c>
      <c r="O44" s="497">
        <f t="shared" ca="1" si="26"/>
        <v>64.394134351349535</v>
      </c>
      <c r="P44" s="497">
        <f t="shared" ca="1" si="27"/>
        <v>63.134697974822735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IFERROR(__xludf.DUMMYFUNCTION("IMPORTRANGE(""https://docs.google.com/spreadsheets/d/1MeEWN-I1oV_STSDYn1IFDPWt_1FKiwhDph83XaGc0o0/edit?usp=sharing"",""งบพรบ!M32"")"),746550)</f>
        <v>746550</v>
      </c>
      <c r="M46" s="93">
        <f ca="1">IFERROR(__xludf.DUMMYFUNCTION("IMPORTRANGE(""https://docs.google.com/spreadsheets/d/1MeEWN-I1oV_STSDYn1IFDPWt_1FKiwhDph83XaGc0o0/edit?usp=sharing"",""งบพรบ!R32"")"),761442.48)</f>
        <v>761442.48</v>
      </c>
      <c r="N46" s="93">
        <f ca="1">IFERROR(__xludf.DUMMYFUNCTION("IMPORTRANGE(""https://docs.google.com/spreadsheets/d/1MeEWN-I1oV_STSDYn1IFDPWt_1FKiwhDph83XaGc0o0/edit?usp=sharing"",""งบพรบ!T32"")"),480734.41)</f>
        <v>480734.41</v>
      </c>
      <c r="O46" s="93">
        <f t="shared" ca="1" si="26"/>
        <v>64.394134351349535</v>
      </c>
      <c r="P46" s="93">
        <f t="shared" ca="1" si="27"/>
        <v>63.134697974822735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IFERROR(__xludf.DUMMYFUNCTION("IMPORTRANGE(""https://docs.google.com/spreadsheets/d/1MeEWN-I1oV_STSDYn1IFDPWt_1FKiwhDph83XaGc0o0/edit?usp=sharing"",""งบพรบ!P32"")"),0)</f>
        <v>0</v>
      </c>
      <c r="M49" s="52">
        <f ca="1">IFERROR(__xludf.DUMMYFUNCTION("IMPORTRANGE(""https://docs.google.com/spreadsheets/d/1MeEWN-I1oV_STSDYn1IFDPWt_1FKiwhDph83XaGc0o0/edit?usp=sharing"",""งบพรบ!S32"")"),0)</f>
        <v>0</v>
      </c>
      <c r="N49" s="52">
        <f ca="1">IFERROR(__xludf.DUMMYFUNCTION("IMPORTRANGE(""https://docs.google.com/spreadsheets/d/1MeEWN-I1oV_STSDYn1IFDPWt_1FKiwhDph83XaGc0o0/edit?usp=sharing"",""งบพรบ!U32"")"),0)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759500</v>
      </c>
      <c r="M53" s="116">
        <f t="shared" ca="1" si="31"/>
        <v>569625</v>
      </c>
      <c r="N53" s="116">
        <f t="shared" ca="1" si="31"/>
        <v>506500.09</v>
      </c>
      <c r="O53" s="116">
        <f t="shared" ref="O53:O61" ca="1" si="32">IF(L53&gt;0,N53*100/L53,0)</f>
        <v>66.688622778143511</v>
      </c>
      <c r="P53" s="116">
        <f t="shared" ref="P53:P61" ca="1" si="33">IF(M53&gt;0,N53*100/M53,0)</f>
        <v>88.918163704191358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759500</v>
      </c>
      <c r="M55" s="123">
        <f t="shared" ca="1" si="34"/>
        <v>569625</v>
      </c>
      <c r="N55" s="123">
        <f t="shared" ca="1" si="34"/>
        <v>506500.09</v>
      </c>
      <c r="O55" s="123">
        <f t="shared" ca="1" si="32"/>
        <v>66.688622778143511</v>
      </c>
      <c r="P55" s="123">
        <f t="shared" ca="1" si="33"/>
        <v>88.918163704191358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759500</v>
      </c>
      <c r="M56" s="497">
        <f t="shared" ca="1" si="35"/>
        <v>569625</v>
      </c>
      <c r="N56" s="497">
        <f t="shared" ca="1" si="35"/>
        <v>506500.09</v>
      </c>
      <c r="O56" s="497">
        <f t="shared" ca="1" si="32"/>
        <v>66.688622778143511</v>
      </c>
      <c r="P56" s="497">
        <f t="shared" ca="1" si="33"/>
        <v>88.918163704191358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IFERROR(__xludf.DUMMYFUNCTION("IMPORTRANGE(""https://docs.google.com/spreadsheets/d/1MeEWN-I1oV_STSDYn1IFDPWt_1FKiwhDph83XaGc0o0/edit?usp=sharing"",""งบพรบ!W32"")"),759500)</f>
        <v>759500</v>
      </c>
      <c r="M58" s="93">
        <f ca="1">IFERROR(__xludf.DUMMYFUNCTION("IMPORTRANGE(""https://docs.google.com/spreadsheets/d/1MeEWN-I1oV_STSDYn1IFDPWt_1FKiwhDph83XaGc0o0/edit?usp=sharing"",""งบพรบ!AB32"")"),569625)</f>
        <v>569625</v>
      </c>
      <c r="N58" s="93">
        <f ca="1">IFERROR(__xludf.DUMMYFUNCTION("IMPORTRANGE(""https://docs.google.com/spreadsheets/d/1MeEWN-I1oV_STSDYn1IFDPWt_1FKiwhDph83XaGc0o0/edit?usp=sharing"",""งบพรบ!AD32"")"),506500.09)</f>
        <v>506500.09</v>
      </c>
      <c r="O58" s="93">
        <f t="shared" ca="1" si="32"/>
        <v>66.688622778143511</v>
      </c>
      <c r="P58" s="93">
        <f t="shared" ca="1" si="33"/>
        <v>88.918163704191358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IFERROR(__xludf.DUMMYFUNCTION("IMPORTRANGE(""https://docs.google.com/spreadsheets/d/1MeEWN-I1oV_STSDYn1IFDPWt_1FKiwhDph83XaGc0o0/edit?usp=sharing"",""งบพรบ!Z32"")"),0)</f>
        <v>0</v>
      </c>
      <c r="M61" s="52">
        <f ca="1">IFERROR(__xludf.DUMMYFUNCTION("IMPORTRANGE(""https://docs.google.com/spreadsheets/d/1MeEWN-I1oV_STSDYn1IFDPWt_1FKiwhDph83XaGc0o0/edit?usp=sharing"",""งบพรบ!AC32"")"),0)</f>
        <v>0</v>
      </c>
      <c r="N61" s="52">
        <f ca="1">IFERROR(__xludf.DUMMYFUNCTION("IMPORTRANGE(""https://docs.google.com/spreadsheets/d/1MeEWN-I1oV_STSDYn1IFDPWt_1FKiwhDph83XaGc0o0/edit?usp=sharing"",""งบพรบ!AE32"")"),0)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IFERROR(__xludf.DUMMYFUNCTION("IMPORTRANGE(""https://docs.google.com/spreadsheets/d/1MeEWN-I1oV_STSDYn1IFDPWt_1FKiwhDph83XaGc0o0/edit?usp=sharing"",""งบพรบ!AG32"")"),0)</f>
        <v>0</v>
      </c>
      <c r="M71" s="93">
        <f ca="1">IFERROR(__xludf.DUMMYFUNCTION("IMPORTRANGE(""https://docs.google.com/spreadsheets/d/1MeEWN-I1oV_STSDYn1IFDPWt_1FKiwhDph83XaGc0o0/edit?usp=sharing"",""งบพรบ!AL32"")"),0)</f>
        <v>0</v>
      </c>
      <c r="N71" s="93">
        <f ca="1">IFERROR(__xludf.DUMMYFUNCTION("IMPORTRANGE(""https://docs.google.com/spreadsheets/d/1MeEWN-I1oV_STSDYn1IFDPWt_1FKiwhDph83XaGc0o0/edit?usp=sharing"",""งบพรบ!AN32"")"),0)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IFERROR(__xludf.DUMMYFUNCTION("IMPORTRANGE(""https://docs.google.com/spreadsheets/d/1MeEWN-I1oV_STSDYn1IFDPWt_1FKiwhDph83XaGc0o0/edit?usp=sharing"",""งบพรบ!AJ32"")"),0)</f>
        <v>0</v>
      </c>
      <c r="M74" s="93">
        <f ca="1">IFERROR(__xludf.DUMMYFUNCTION("IMPORTRANGE(""https://docs.google.com/spreadsheets/d/1MeEWN-I1oV_STSDYn1IFDPWt_1FKiwhDph83XaGc0o0/edit?usp=sharing"",""งบพรบ!AM32"")"),0)</f>
        <v>0</v>
      </c>
      <c r="N74" s="93">
        <f ca="1">IFERROR(__xludf.DUMMYFUNCTION("IMPORTRANGE(""https://docs.google.com/spreadsheets/d/1MeEWN-I1oV_STSDYn1IFDPWt_1FKiwhDph83XaGc0o0/edit?usp=sharing"",""งบพรบ!AO32"")"),0)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47049.3</v>
      </c>
      <c r="O88" s="155">
        <f t="shared" ref="O88:O96" ca="1" si="50">IF(L88&gt;0,N88*100/L88,0)</f>
        <v>83.956638115631691</v>
      </c>
      <c r="P88" s="155">
        <f t="shared" ref="P88:P96" ca="1" si="51">IF(M88&gt;0,N88*100/M88,0)</f>
        <v>91.911115452236771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47049.3</v>
      </c>
      <c r="O90" s="93">
        <f t="shared" ca="1" si="50"/>
        <v>83.956638115631691</v>
      </c>
      <c r="P90" s="93">
        <f t="shared" ca="1" si="51"/>
        <v>91.911115452236771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51190</v>
      </c>
      <c r="N91" s="497">
        <f t="shared" ca="1" si="53"/>
        <v>47049.3</v>
      </c>
      <c r="O91" s="497">
        <f t="shared" ca="1" si="50"/>
        <v>83.956638115631691</v>
      </c>
      <c r="P91" s="497">
        <f t="shared" ca="1" si="51"/>
        <v>91.911115452236771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IFERROR(__xludf.DUMMYFUNCTION("IMPORTRANGE(""https://docs.google.com/spreadsheets/d/1MeEWN-I1oV_STSDYn1IFDPWt_1FKiwhDph83XaGc0o0/edit?usp=sharing"",""งบพรบ!AQ32"")"),56040)</f>
        <v>56040</v>
      </c>
      <c r="M93" s="93">
        <f ca="1">IFERROR(__xludf.DUMMYFUNCTION("IMPORTRANGE(""https://docs.google.com/spreadsheets/d/1MeEWN-I1oV_STSDYn1IFDPWt_1FKiwhDph83XaGc0o0/edit?usp=sharing"",""งบพรบ!AV32"")"),51190)</f>
        <v>51190</v>
      </c>
      <c r="N93" s="93">
        <f ca="1">IFERROR(__xludf.DUMMYFUNCTION("IMPORTRANGE(""https://docs.google.com/spreadsheets/d/1MeEWN-I1oV_STSDYn1IFDPWt_1FKiwhDph83XaGc0o0/edit?usp=sharing"",""งบพรบ!AX32"")"),47049.3)</f>
        <v>47049.3</v>
      </c>
      <c r="O93" s="93">
        <f t="shared" ca="1" si="50"/>
        <v>83.956638115631691</v>
      </c>
      <c r="P93" s="93">
        <f t="shared" ca="1" si="51"/>
        <v>91.911115452236771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IFERROR(__xludf.DUMMYFUNCTION("IMPORTRANGE(""https://docs.google.com/spreadsheets/d/1MeEWN-I1oV_STSDYn1IFDPWt_1FKiwhDph83XaGc0o0/edit?usp=sharing"",""งบพรบ!AT32"")"),0)</f>
        <v>0</v>
      </c>
      <c r="M96" s="93">
        <f ca="1">IFERROR(__xludf.DUMMYFUNCTION("IMPORTRANGE(""https://docs.google.com/spreadsheets/d/1MeEWN-I1oV_STSDYn1IFDPWt_1FKiwhDph83XaGc0o0/edit?usp=sharing"",""งบพรบ!AW32"")"),0)</f>
        <v>0</v>
      </c>
      <c r="N96" s="93">
        <f ca="1">IFERROR(__xludf.DUMMYFUNCTION("IMPORTRANGE(""https://docs.google.com/spreadsheets/d/1MeEWN-I1oV_STSDYn1IFDPWt_1FKiwhDph83XaGc0o0/edit?usp=sharing"",""งบพรบ!AY32"")"),0)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IFERROR(__xludf.DUMMYFUNCTION("IMPORTRANGE(""https://docs.google.com/spreadsheets/d/1QqKyyYR6Q21VydFLVH3TRQUabQu_ym0Zz7PgGX0-kHA/edit?usp=sharing"",""แผน!Q32"")"),0)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IFERROR(__xludf.DUMMYFUNCTION("IMPORTRANGE(""https://docs.google.com/spreadsheets/d/1QqKyyYR6Q21VydFLVH3TRQUabQu_ym0Zz7PgGX0-kHA/edit?usp=sharing"",""แผน!Q32"")"),0)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IFERROR(__xludf.DUMMYFUNCTION("IMPORTRANGE(""https://docs.google.com/spreadsheets/d/1QqKyyYR6Q21VydFLVH3TRQUabQu_ym0Zz7PgGX0-kHA/edit?usp=sharing"",""แผน!R32"")"),10)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IFERROR(__xludf.DUMMYFUNCTION("IMPORTRANGE(""https://docs.google.com/spreadsheets/d/1QqKyyYR6Q21VydFLVH3TRQUabQu_ym0Zz7PgGX0-kHA/edit?usp=sharing"",""แผน!S32"")"),1)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IFERROR(__xludf.DUMMYFUNCTION("IMPORTRANGE(""https://docs.google.com/spreadsheets/d/1QqKyyYR6Q21VydFLVH3TRQUabQu_ym0Zz7PgGX0-kHA/edit?usp=sharing"",""แผน!T32"")"),0)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IFERROR(__xludf.DUMMYFUNCTION("IMPORTRANGE(""https://docs.google.com/spreadsheets/d/1MeEWN-I1oV_STSDYn1IFDPWt_1FKiwhDph83XaGc0o0/edit?usp=sharing"",""งบพรบ!BA32"")"),0)</f>
        <v>0</v>
      </c>
      <c r="M124" s="93">
        <f ca="1">IFERROR(__xludf.DUMMYFUNCTION("IMPORTRANGE(""https://docs.google.com/spreadsheets/d/1MeEWN-I1oV_STSDYn1IFDPWt_1FKiwhDph83XaGc0o0/edit?usp=sharing"",""งบพรบ!BF32"")"),0)</f>
        <v>0</v>
      </c>
      <c r="N124" s="93">
        <f ca="1">IFERROR(__xludf.DUMMYFUNCTION("IMPORTRANGE(""https://docs.google.com/spreadsheets/d/1MeEWN-I1oV_STSDYn1IFDPWt_1FKiwhDph83XaGc0o0/edit?usp=sharing"",""งบพรบ!BH32"")"),0)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IFERROR(__xludf.DUMMYFUNCTION("IMPORTRANGE(""https://docs.google.com/spreadsheets/d/1MeEWN-I1oV_STSDYn1IFDPWt_1FKiwhDph83XaGc0o0/edit?usp=sharing"",""งบพรบ!BD32"")"),0)</f>
        <v>0</v>
      </c>
      <c r="M127" s="93">
        <f ca="1">IFERROR(__xludf.DUMMYFUNCTION("IMPORTRANGE(""https://docs.google.com/spreadsheets/d/1MeEWN-I1oV_STSDYn1IFDPWt_1FKiwhDph83XaGc0o0/edit?usp=sharing"",""งบพรบ!BG32"")"),0)</f>
        <v>0</v>
      </c>
      <c r="N127" s="93">
        <f ca="1">IFERROR(__xludf.DUMMYFUNCTION("IMPORTRANGE(""https://docs.google.com/spreadsheets/d/1MeEWN-I1oV_STSDYn1IFDPWt_1FKiwhDph83XaGc0o0/edit?usp=sharing"",""งบพรบ!BI32"")"),0)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IFERROR(__xludf.DUMMYFUNCTION("IMPORTRANGE(""https://docs.google.com/spreadsheets/d/1MeEWN-I1oV_STSDYn1IFDPWt_1FKiwhDph83XaGc0o0/edit?usp=sharing"",""งบพรบ!BK32"")"),0)</f>
        <v>0</v>
      </c>
      <c r="M137" s="93">
        <f ca="1">IFERROR(__xludf.DUMMYFUNCTION("IMPORTRANGE(""https://docs.google.com/spreadsheets/d/1MeEWN-I1oV_STSDYn1IFDPWt_1FKiwhDph83XaGc0o0/edit?usp=sharing"",""งบพรบ!BP32"")"),0)</f>
        <v>0</v>
      </c>
      <c r="N137" s="93">
        <f ca="1">IFERROR(__xludf.DUMMYFUNCTION("IMPORTRANGE(""https://docs.google.com/spreadsheets/d/1MeEWN-I1oV_STSDYn1IFDPWt_1FKiwhDph83XaGc0o0/edit?usp=sharing"",""งบพรบ!BR32"")"),0)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IFERROR(__xludf.DUMMYFUNCTION("IMPORTRANGE(""https://docs.google.com/spreadsheets/d/1MeEWN-I1oV_STSDYn1IFDPWt_1FKiwhDph83XaGc0o0/edit?usp=sharing"",""งบพรบ!BN32"")"),0)</f>
        <v>0</v>
      </c>
      <c r="M140" s="93">
        <f ca="1">IFERROR(__xludf.DUMMYFUNCTION("IMPORTRANGE(""https://docs.google.com/spreadsheets/d/1MeEWN-I1oV_STSDYn1IFDPWt_1FKiwhDph83XaGc0o0/edit?usp=sharing"",""งบพรบ!BQ32"")"),0)</f>
        <v>0</v>
      </c>
      <c r="N140" s="93">
        <f ca="1">IFERROR(__xludf.DUMMYFUNCTION("IMPORTRANGE(""https://docs.google.com/spreadsheets/d/1MeEWN-I1oV_STSDYn1IFDPWt_1FKiwhDph83XaGc0o0/edit?usp=sharing"",""งบพรบ!BS32"")"),0)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22820</v>
      </c>
      <c r="N149" s="155">
        <f t="shared" ca="1" si="77"/>
        <v>12820</v>
      </c>
      <c r="O149" s="155">
        <f t="shared" ref="O149:O157" ca="1" si="78">IF(L149&gt;0,N149*100/L149,0)</f>
        <v>128.19999999999999</v>
      </c>
      <c r="P149" s="155">
        <f t="shared" ref="P149:P157" ca="1" si="79">IF(M149&gt;0,N149*100/M149,0)</f>
        <v>56.178790534618756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22820</v>
      </c>
      <c r="N151" s="93">
        <f t="shared" ca="1" si="80"/>
        <v>12820</v>
      </c>
      <c r="O151" s="93">
        <f t="shared" ca="1" si="78"/>
        <v>128.19999999999999</v>
      </c>
      <c r="P151" s="93">
        <f t="shared" ca="1" si="79"/>
        <v>56.178790534618756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22820</v>
      </c>
      <c r="N152" s="497">
        <f t="shared" ca="1" si="81"/>
        <v>12820</v>
      </c>
      <c r="O152" s="497">
        <f t="shared" ca="1" si="78"/>
        <v>128.19999999999999</v>
      </c>
      <c r="P152" s="497">
        <f t="shared" ca="1" si="79"/>
        <v>56.178790534618756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IFERROR(__xludf.DUMMYFUNCTION("IMPORTRANGE(""https://docs.google.com/spreadsheets/d/1MeEWN-I1oV_STSDYn1IFDPWt_1FKiwhDph83XaGc0o0/edit?usp=sharing"",""งบพรบ!BU32"")"),10000)</f>
        <v>10000</v>
      </c>
      <c r="M154" s="93">
        <f ca="1">IFERROR(__xludf.DUMMYFUNCTION("IMPORTRANGE(""https://docs.google.com/spreadsheets/d/1MeEWN-I1oV_STSDYn1IFDPWt_1FKiwhDph83XaGc0o0/edit?usp=sharing"",""งบพรบ!BZ32"")"),22820)</f>
        <v>22820</v>
      </c>
      <c r="N154" s="93">
        <f ca="1">IFERROR(__xludf.DUMMYFUNCTION("IMPORTRANGE(""https://docs.google.com/spreadsheets/d/1MeEWN-I1oV_STSDYn1IFDPWt_1FKiwhDph83XaGc0o0/edit?usp=sharing"",""งบพรบ!CB32"")"),12820)</f>
        <v>12820</v>
      </c>
      <c r="O154" s="93">
        <f t="shared" ca="1" si="78"/>
        <v>128.19999999999999</v>
      </c>
      <c r="P154" s="93">
        <f t="shared" ca="1" si="79"/>
        <v>56.178790534618756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IFERROR(__xludf.DUMMYFUNCTION("IMPORTRANGE(""https://docs.google.com/spreadsheets/d/1MeEWN-I1oV_STSDYn1IFDPWt_1FKiwhDph83XaGc0o0/edit?usp=sharing"",""งบพรบ!BX32"")"),0)</f>
        <v>0</v>
      </c>
      <c r="M157" s="93">
        <f ca="1">IFERROR(__xludf.DUMMYFUNCTION("IMPORTRANGE(""https://docs.google.com/spreadsheets/d/1MeEWN-I1oV_STSDYn1IFDPWt_1FKiwhDph83XaGc0o0/edit?usp=sharing"",""งบพรบ!CA32"")"),0)</f>
        <v>0</v>
      </c>
      <c r="N157" s="93">
        <f ca="1">IFERROR(__xludf.DUMMYFUNCTION("IMPORTRANGE(""https://docs.google.com/spreadsheets/d/1MeEWN-I1oV_STSDYn1IFDPWt_1FKiwhDph83XaGc0o0/edit?usp=sharing"",""งบพรบ!CC32"")"),0)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IFERROR(__xludf.DUMMYFUNCTION("IMPORTRANGE(""https://docs.google.com/spreadsheets/d/1QqKyyYR6Q21VydFLVH3TRQUabQu_ym0Zz7PgGX0-kHA/edit?usp=sharing"",""แผน!X32"")"),20)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38300</v>
      </c>
      <c r="N165" s="155">
        <f t="shared" ca="1" si="84"/>
        <v>38300</v>
      </c>
      <c r="O165" s="155">
        <f t="shared" ref="O165:O173" ca="1" si="85">IF(L165&gt;0,N165*100/L165,0)</f>
        <v>166.08846487424111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38300</v>
      </c>
      <c r="N167" s="93">
        <f t="shared" ca="1" si="87"/>
        <v>38300</v>
      </c>
      <c r="O167" s="93">
        <f t="shared" ca="1" si="85"/>
        <v>166.08846487424111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38300</v>
      </c>
      <c r="N168" s="497">
        <f t="shared" ca="1" si="88"/>
        <v>38300</v>
      </c>
      <c r="O168" s="497">
        <f t="shared" ca="1" si="85"/>
        <v>166.08846487424111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IFERROR(__xludf.DUMMYFUNCTION("IMPORTRANGE(""https://docs.google.com/spreadsheets/d/1MeEWN-I1oV_STSDYn1IFDPWt_1FKiwhDph83XaGc0o0/edit?usp=sharing"",""งบพรบ!CE32"")"),23060)</f>
        <v>23060</v>
      </c>
      <c r="M170" s="93">
        <f ca="1">IFERROR(__xludf.DUMMYFUNCTION("IMPORTRANGE(""https://docs.google.com/spreadsheets/d/1MeEWN-I1oV_STSDYn1IFDPWt_1FKiwhDph83XaGc0o0/edit?usp=sharing"",""งบพรบ!CJ32"")"),38300)</f>
        <v>38300</v>
      </c>
      <c r="N170" s="93">
        <f ca="1">IFERROR(__xludf.DUMMYFUNCTION("IMPORTRANGE(""https://docs.google.com/spreadsheets/d/1MeEWN-I1oV_STSDYn1IFDPWt_1FKiwhDph83XaGc0o0/edit?usp=sharing"",""งบพรบ!CL32"")"),38300)</f>
        <v>38300</v>
      </c>
      <c r="O170" s="93">
        <f t="shared" ca="1" si="85"/>
        <v>166.08846487424111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IFERROR(__xludf.DUMMYFUNCTION("IMPORTRANGE(""https://docs.google.com/spreadsheets/d/1MeEWN-I1oV_STSDYn1IFDPWt_1FKiwhDph83XaGc0o0/edit?usp=sharing"",""งบพรบ!CH32"")"),0)</f>
        <v>0</v>
      </c>
      <c r="M173" s="93">
        <f ca="1">IFERROR(__xludf.DUMMYFUNCTION("IMPORTRANGE(""https://docs.google.com/spreadsheets/d/1MeEWN-I1oV_STSDYn1IFDPWt_1FKiwhDph83XaGc0o0/edit?usp=sharing"",""งบพรบ!CK32"")"),0)</f>
        <v>0</v>
      </c>
      <c r="N173" s="93">
        <f ca="1">IFERROR(__xludf.DUMMYFUNCTION("IMPORTRANGE(""https://docs.google.com/spreadsheets/d/1MeEWN-I1oV_STSDYn1IFDPWt_1FKiwhDph83XaGc0o0/edit?usp=sharing"",""งบพรบ!CM32"")"),0)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67900</v>
      </c>
      <c r="M181" s="155">
        <f t="shared" ca="1" si="92"/>
        <v>48500</v>
      </c>
      <c r="N181" s="155">
        <f t="shared" ca="1" si="92"/>
        <v>26288</v>
      </c>
      <c r="O181" s="155">
        <f t="shared" ref="O181:O189" ca="1" si="93">IF(L181&gt;0,N181*100/L181,0)</f>
        <v>38.715758468335785</v>
      </c>
      <c r="P181" s="155">
        <f t="shared" ref="P181:P189" ca="1" si="94">IF(M181&gt;0,N181*100/M181,0)</f>
        <v>54.202061855670102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67900</v>
      </c>
      <c r="M183" s="93">
        <f t="shared" ca="1" si="95"/>
        <v>48500</v>
      </c>
      <c r="N183" s="93">
        <f t="shared" ca="1" si="95"/>
        <v>26288</v>
      </c>
      <c r="O183" s="93">
        <f t="shared" ca="1" si="93"/>
        <v>38.715758468335785</v>
      </c>
      <c r="P183" s="93">
        <f t="shared" ca="1" si="94"/>
        <v>54.202061855670102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67900</v>
      </c>
      <c r="M184" s="497">
        <f t="shared" ca="1" si="96"/>
        <v>48500</v>
      </c>
      <c r="N184" s="497">
        <f t="shared" ca="1" si="96"/>
        <v>26288</v>
      </c>
      <c r="O184" s="497">
        <f t="shared" ca="1" si="93"/>
        <v>38.715758468335785</v>
      </c>
      <c r="P184" s="497">
        <f t="shared" ca="1" si="94"/>
        <v>54.202061855670102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IFERROR(__xludf.DUMMYFUNCTION("IMPORTRANGE(""https://docs.google.com/spreadsheets/d/1MeEWN-I1oV_STSDYn1IFDPWt_1FKiwhDph83XaGc0o0/edit?usp=sharing"",""งบพรบ!CO32"")"),67900)</f>
        <v>67900</v>
      </c>
      <c r="M186" s="93">
        <f ca="1">IFERROR(__xludf.DUMMYFUNCTION("IMPORTRANGE(""https://docs.google.com/spreadsheets/d/1MeEWN-I1oV_STSDYn1IFDPWt_1FKiwhDph83XaGc0o0/edit?usp=sharing"",""งบพรบ!CT32"")"),48500)</f>
        <v>48500</v>
      </c>
      <c r="N186" s="93">
        <f ca="1">IFERROR(__xludf.DUMMYFUNCTION("IMPORTRANGE(""https://docs.google.com/spreadsheets/d/1MeEWN-I1oV_STSDYn1IFDPWt_1FKiwhDph83XaGc0o0/edit?usp=sharing"",""งบพรบ!CV32"")"),26288)</f>
        <v>26288</v>
      </c>
      <c r="O186" s="93">
        <f t="shared" ca="1" si="93"/>
        <v>38.715758468335785</v>
      </c>
      <c r="P186" s="93">
        <f t="shared" ca="1" si="94"/>
        <v>54.202061855670102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IFERROR(__xludf.DUMMYFUNCTION("IMPORTRANGE(""https://docs.google.com/spreadsheets/d/1MeEWN-I1oV_STSDYn1IFDPWt_1FKiwhDph83XaGc0o0/edit?usp=sharing"",""งบพรบ!CR32"")"),0)</f>
        <v>0</v>
      </c>
      <c r="M189" s="93">
        <f ca="1">IFERROR(__xludf.DUMMYFUNCTION("IMPORTRANGE(""https://docs.google.com/spreadsheets/d/1MeEWN-I1oV_STSDYn1IFDPWt_1FKiwhDph83XaGc0o0/edit?usp=sharing"",""งบพรบ!CU32"")"),0)</f>
        <v>0</v>
      </c>
      <c r="N189" s="93">
        <f ca="1">IFERROR(__xludf.DUMMYFUNCTION("IMPORTRANGE(""https://docs.google.com/spreadsheets/d/1MeEWN-I1oV_STSDYn1IFDPWt_1FKiwhDph83XaGc0o0/edit?usp=sharing"",""งบพรบ!CW32"")"),0)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26288</v>
      </c>
      <c r="O198" s="155">
        <f ca="1">IF(L198&gt;0,N198*100/L198,0)</f>
        <v>67.405128205128207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IFERROR(__xludf.DUMMYFUNCTION("IMPORTRANGE(""https://docs.google.com/spreadsheets/d/1QqKyyYR6Q21VydFLVH3TRQUabQu_ym0Zz7PgGX0-kHA/edit?usp=sharing"",""แผน!AE32"")"),3000)</f>
        <v>3000</v>
      </c>
      <c r="M199" s="497"/>
      <c r="N199" s="838">
        <v>2288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IFERROR(__xludf.DUMMYFUNCTION("IMPORTRANGE(""https://docs.google.com/spreadsheets/d/1QqKyyYR6Q21VydFLVH3TRQUabQu_ym0Zz7PgGX0-kHA/edit?usp=sharing"",""แผน!AG32"")"),12000)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IFERROR(__xludf.DUMMYFUNCTION("IMPORTRANGE(""https://docs.google.com/spreadsheets/d/1QqKyyYR6Q21VydFLVH3TRQUabQu_ym0Zz7PgGX0-kHA/edit?usp=sharing"",""แผน!AP32"")"),5000)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IFERROR(__xludf.DUMMYFUNCTION("IMPORTRANGE(""https://docs.google.com/spreadsheets/d/1QqKyyYR6Q21VydFLVH3TRQUabQu_ym0Zz7PgGX0-kHA/edit?usp=sharing"",""แผน!AQ32"")"),17900)</f>
        <v>17900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IFERROR(__xludf.DUMMYFUNCTION("IMPORTRANGE(""https://docs.google.com/spreadsheets/d/1QqKyyYR6Q21VydFLVH3TRQUabQu_ym0Zz7PgGX0-kHA/edit?usp=sharing"",""แผน!AT32"")"),65000)</f>
        <v>65000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IFERROR(__xludf.DUMMYFUNCTION("IMPORTRANGE(""https://docs.google.com/spreadsheets/d/1QqKyyYR6Q21VydFLVH3TRQUabQu_ym0Zz7PgGX0-kHA/edit?usp=sharing"",""แผน!AT32"")"),65000)</f>
        <v>65000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20780</v>
      </c>
      <c r="O261" s="155">
        <f t="shared" ref="O261:O269" ca="1" si="117">IF(L261&gt;0,N261*100/L261,0)</f>
        <v>83.12</v>
      </c>
      <c r="P261" s="155">
        <f t="shared" ref="P261:P269" ca="1" si="118">IF(M261&gt;0,N261*100/M261,0)</f>
        <v>94.454545454545453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20780</v>
      </c>
      <c r="O263" s="93">
        <f t="shared" ca="1" si="117"/>
        <v>83.12</v>
      </c>
      <c r="P263" s="93">
        <f t="shared" ca="1" si="118"/>
        <v>94.454545454545453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20780</v>
      </c>
      <c r="O264" s="497">
        <f t="shared" ca="1" si="117"/>
        <v>83.12</v>
      </c>
      <c r="P264" s="497">
        <f t="shared" ca="1" si="118"/>
        <v>94.454545454545453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IFERROR(__xludf.DUMMYFUNCTION("IMPORTRANGE(""https://docs.google.com/spreadsheets/d/1MeEWN-I1oV_STSDYn1IFDPWt_1FKiwhDph83XaGc0o0/edit?usp=sharing"",""งบพรบ!CY32"")"),25000)</f>
        <v>25000</v>
      </c>
      <c r="M266" s="93">
        <f ca="1">IFERROR(__xludf.DUMMYFUNCTION("IMPORTRANGE(""https://docs.google.com/spreadsheets/d/1MeEWN-I1oV_STSDYn1IFDPWt_1FKiwhDph83XaGc0o0/edit?usp=sharing"",""งบพรบ!DD32"")"),22000)</f>
        <v>22000</v>
      </c>
      <c r="N266" s="93">
        <f ca="1">IFERROR(__xludf.DUMMYFUNCTION("IMPORTRANGE(""https://docs.google.com/spreadsheets/d/1MeEWN-I1oV_STSDYn1IFDPWt_1FKiwhDph83XaGc0o0/edit?usp=sharing"",""งบพรบ!DF32"")"),20780)</f>
        <v>20780</v>
      </c>
      <c r="O266" s="93">
        <f t="shared" ca="1" si="117"/>
        <v>83.12</v>
      </c>
      <c r="P266" s="93">
        <f t="shared" ca="1" si="118"/>
        <v>94.454545454545453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IFERROR(__xludf.DUMMYFUNCTION("IMPORTRANGE(""https://docs.google.com/spreadsheets/d/1MeEWN-I1oV_STSDYn1IFDPWt_1FKiwhDph83XaGc0o0/edit?usp=sharing"",""งบพรบ!DB32"")"),0)</f>
        <v>0</v>
      </c>
      <c r="M269" s="93">
        <f ca="1">IFERROR(__xludf.DUMMYFUNCTION("IMPORTRANGE(""https://docs.google.com/spreadsheets/d/1MeEWN-I1oV_STSDYn1IFDPWt_1FKiwhDph83XaGc0o0/edit?usp=sharing"",""งบพรบ!DE32"")"),0)</f>
        <v>0</v>
      </c>
      <c r="N269" s="93">
        <f ca="1">IFERROR(__xludf.DUMMYFUNCTION("IMPORTRANGE(""https://docs.google.com/spreadsheets/d/1MeEWN-I1oV_STSDYn1IFDPWt_1FKiwhDph83XaGc0o0/edit?usp=sharing"",""งบพรบ!DG32"")"),0)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IFERROR(__xludf.DUMMYFUNCTION("IMPORTRANGE(""https://docs.google.com/spreadsheets/d/1QqKyyYR6Q21VydFLVH3TRQUabQu_ym0Zz7PgGX0-kHA/edit?usp=sharing"",""แผน!EA32"")"),20)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250</v>
      </c>
      <c r="J276" s="882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259920</v>
      </c>
      <c r="M277" s="155">
        <f t="shared" ca="1" si="125"/>
        <v>170820</v>
      </c>
      <c r="N277" s="155">
        <f t="shared" ca="1" si="125"/>
        <v>170658.51</v>
      </c>
      <c r="O277" s="155">
        <f t="shared" ref="O277:O285" ca="1" si="126">IF(L277&gt;0,N277*100/L277,0)</f>
        <v>65.658090951061865</v>
      </c>
      <c r="P277" s="155">
        <f t="shared" ref="P277:P285" ca="1" si="127">IF(M277&gt;0,N277*100/M277,0)</f>
        <v>99.905461889708462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259920</v>
      </c>
      <c r="M279" s="93">
        <f t="shared" ca="1" si="128"/>
        <v>170820</v>
      </c>
      <c r="N279" s="93">
        <f t="shared" ca="1" si="128"/>
        <v>170658.51</v>
      </c>
      <c r="O279" s="93">
        <f t="shared" ca="1" si="126"/>
        <v>65.658090951061865</v>
      </c>
      <c r="P279" s="93">
        <f t="shared" ca="1" si="127"/>
        <v>99.905461889708462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259920</v>
      </c>
      <c r="M280" s="497">
        <f t="shared" ca="1" si="129"/>
        <v>170820</v>
      </c>
      <c r="N280" s="497">
        <f t="shared" ca="1" si="129"/>
        <v>170658.51</v>
      </c>
      <c r="O280" s="497">
        <f t="shared" ca="1" si="126"/>
        <v>65.658090951061865</v>
      </c>
      <c r="P280" s="497">
        <f t="shared" ca="1" si="127"/>
        <v>99.905461889708462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IFERROR(__xludf.DUMMYFUNCTION("IMPORTRANGE(""https://docs.google.com/spreadsheets/d/1MeEWN-I1oV_STSDYn1IFDPWt_1FKiwhDph83XaGc0o0/edit?usp=sharing"",""งบพรบ!DI32"")"),259920)</f>
        <v>259920</v>
      </c>
      <c r="M282" s="93">
        <f ca="1">IFERROR(__xludf.DUMMYFUNCTION("IMPORTRANGE(""https://docs.google.com/spreadsheets/d/1MeEWN-I1oV_STSDYn1IFDPWt_1FKiwhDph83XaGc0o0/edit?usp=sharing"",""งบพรบ!DN32"")"),170820)</f>
        <v>170820</v>
      </c>
      <c r="N282" s="93">
        <f ca="1">IFERROR(__xludf.DUMMYFUNCTION("IMPORTRANGE(""https://docs.google.com/spreadsheets/d/1MeEWN-I1oV_STSDYn1IFDPWt_1FKiwhDph83XaGc0o0/edit?usp=sharing"",""งบพรบ!DP32"")"),170658.51)</f>
        <v>170658.51</v>
      </c>
      <c r="O282" s="93">
        <f t="shared" ca="1" si="126"/>
        <v>65.658090951061865</v>
      </c>
      <c r="P282" s="93">
        <f t="shared" ca="1" si="127"/>
        <v>99.905461889708462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IFERROR(__xludf.DUMMYFUNCTION("IMPORTRANGE(""https://docs.google.com/spreadsheets/d/1MeEWN-I1oV_STSDYn1IFDPWt_1FKiwhDph83XaGc0o0/edit?usp=sharing"",""งบพรบ!DL32"")"),0)</f>
        <v>0</v>
      </c>
      <c r="M285" s="93">
        <f ca="1">IFERROR(__xludf.DUMMYFUNCTION("IMPORTRANGE(""https://docs.google.com/spreadsheets/d/1MeEWN-I1oV_STSDYn1IFDPWt_1FKiwhDph83XaGc0o0/edit?usp=sharing"",""งบพรบ!DO32"")"),0)</f>
        <v>0</v>
      </c>
      <c r="N285" s="93">
        <f ca="1">IFERROR(__xludf.DUMMYFUNCTION("IMPORTRANGE(""https://docs.google.com/spreadsheets/d/1MeEWN-I1oV_STSDYn1IFDPWt_1FKiwhDph83XaGc0o0/edit?usp=sharing"",""งบพรบ!DQ32"")"),0)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IFERROR(__xludf.DUMMYFUNCTION("IMPORTRANGE(""https://docs.google.com/spreadsheets/d/1QqKyyYR6Q21VydFLVH3TRQUabQu_ym0Zz7PgGX0-kHA/edit?usp=sharing"",""แผน!EC32"")"),250)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IFERROR(__xludf.DUMMYFUNCTION("IMPORTRANGE(""https://docs.google.com/spreadsheets/d/1QqKyyYR6Q21VydFLVH3TRQUabQu_ym0Zz7PgGX0-kHA/edit?usp=sharing"",""แผน!EB32"")"),25)</f>
        <v>25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IFERROR(__xludf.DUMMYFUNCTION("IMPORTRANGE(""https://docs.google.com/spreadsheets/d/1QqKyyYR6Q21VydFLVH3TRQUabQu_ym0Zz7PgGX0-kHA/edit?usp=sharing"",""แผน!EB32"")"),25)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8.75">
      <c r="A291" s="170"/>
      <c r="B291" s="171"/>
      <c r="C291" s="171"/>
      <c r="D291" s="178"/>
      <c r="E291" s="624" t="s">
        <v>333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IFERROR(__xludf.DUMMYFUNCTION("IMPORTRANGE(""https://docs.google.com/spreadsheets/d/1QqKyyYR6Q21VydFLVH3TRQUabQu_ym0Zz7PgGX0-kHA/edit?usp=sharing"",""แผน!EB32"")"),25)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IFERROR(__xludf.DUMMYFUNCTION("IMPORTRANGE(""https://docs.google.com/spreadsheets/d/1QqKyyYR6Q21VydFLVH3TRQUabQu_ym0Zz7PgGX0-kHA/edit?usp=sharing"",""แผน!EB32"")"),25)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8.75">
      <c r="A294" s="378"/>
      <c r="B294" s="379"/>
      <c r="C294" s="379"/>
      <c r="D294" s="381"/>
      <c r="E294" s="732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IFERROR(__xludf.DUMMYFUNCTION("IMPORTRANGE(""https://docs.google.com/spreadsheets/d/1QqKyyYR6Q21VydFLVH3TRQUabQu_ym0Zz7PgGX0-kHA/edit?usp=sharing"",""แผน!EB32"")"),25)</f>
        <v>25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IFERROR(__xludf.DUMMYFUNCTION("IMPORTRANGE(""https://docs.google.com/spreadsheets/d/1MeEWN-I1oV_STSDYn1IFDPWt_1FKiwhDph83XaGc0o0/edit?usp=sharing"",""งบพรบ!DS32"")"),0)</f>
        <v>0</v>
      </c>
      <c r="M303" s="93">
        <f ca="1">IFERROR(__xludf.DUMMYFUNCTION("IMPORTRANGE(""https://docs.google.com/spreadsheets/d/1MeEWN-I1oV_STSDYn1IFDPWt_1FKiwhDph83XaGc0o0/edit?usp=sharing"",""งบพรบ!DX32"")"),0)</f>
        <v>0</v>
      </c>
      <c r="N303" s="93">
        <f ca="1">IFERROR(__xludf.DUMMYFUNCTION("IMPORTRANGE(""https://docs.google.com/spreadsheets/d/1MeEWN-I1oV_STSDYn1IFDPWt_1FKiwhDph83XaGc0o0/edit?usp=sharing"",""งบพรบ!DZ32"")"),0)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IFERROR(__xludf.DUMMYFUNCTION("IMPORTRANGE(""https://docs.google.com/spreadsheets/d/1MeEWN-I1oV_STSDYn1IFDPWt_1FKiwhDph83XaGc0o0/edit?usp=sharing"",""งบพรบ!DV32"")"),0)</f>
        <v>0</v>
      </c>
      <c r="M306" s="93">
        <f ca="1">IFERROR(__xludf.DUMMYFUNCTION("IMPORTRANGE(""https://docs.google.com/spreadsheets/d/1MeEWN-I1oV_STSDYn1IFDPWt_1FKiwhDph83XaGc0o0/edit?usp=sharing"",""งบพรบ!DY32"")"),0)</f>
        <v>0</v>
      </c>
      <c r="N306" s="93">
        <f ca="1">IFERROR(__xludf.DUMMYFUNCTION("IMPORTRANGE(""https://docs.google.com/spreadsheets/d/1MeEWN-I1oV_STSDYn1IFDPWt_1FKiwhDph83XaGc0o0/edit?usp=sharing"",""งบพรบ!EA32"")"),0)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187258.75</v>
      </c>
      <c r="O315" s="155">
        <f t="shared" ref="O315:O323" ca="1" si="144">IF(L315&gt;0,N315*100/L315,0)</f>
        <v>42.655751708428248</v>
      </c>
      <c r="P315" s="155">
        <f t="shared" ref="P315:P323" ca="1" si="145">IF(M315&gt;0,N315*100/M315,0)</f>
        <v>58.064728682170539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187258.75</v>
      </c>
      <c r="O317" s="93">
        <f t="shared" ca="1" si="144"/>
        <v>42.655751708428248</v>
      </c>
      <c r="P317" s="93">
        <f t="shared" ca="1" si="145"/>
        <v>58.064728682170539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322500</v>
      </c>
      <c r="N318" s="497">
        <f t="shared" ca="1" si="147"/>
        <v>187258.75</v>
      </c>
      <c r="O318" s="497">
        <f t="shared" ca="1" si="144"/>
        <v>42.655751708428248</v>
      </c>
      <c r="P318" s="497">
        <f t="shared" ca="1" si="145"/>
        <v>58.064728682170539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IFERROR(__xludf.DUMMYFUNCTION("IMPORTRANGE(""https://docs.google.com/spreadsheets/d/1MeEWN-I1oV_STSDYn1IFDPWt_1FKiwhDph83XaGc0o0/edit?usp=sharing"",""งบพรบ!EC32"")"),439000)</f>
        <v>439000</v>
      </c>
      <c r="M320" s="93">
        <f ca="1">IFERROR(__xludf.DUMMYFUNCTION("IMPORTRANGE(""https://docs.google.com/spreadsheets/d/1MeEWN-I1oV_STSDYn1IFDPWt_1FKiwhDph83XaGc0o0/edit?usp=sharing"",""งบพรบ!EH32"")"),322500)</f>
        <v>322500</v>
      </c>
      <c r="N320" s="93">
        <f ca="1">IFERROR(__xludf.DUMMYFUNCTION("IMPORTRANGE(""https://docs.google.com/spreadsheets/d/1MeEWN-I1oV_STSDYn1IFDPWt_1FKiwhDph83XaGc0o0/edit?usp=sharing"",""งบพรบ!EJ32"")"),187258.75)</f>
        <v>187258.75</v>
      </c>
      <c r="O320" s="93">
        <f t="shared" ca="1" si="144"/>
        <v>42.655751708428248</v>
      </c>
      <c r="P320" s="93">
        <f t="shared" ca="1" si="145"/>
        <v>58.064728682170539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IFERROR(__xludf.DUMMYFUNCTION("IMPORTRANGE(""https://docs.google.com/spreadsheets/d/1MeEWN-I1oV_STSDYn1IFDPWt_1FKiwhDph83XaGc0o0/edit?usp=sharing"",""งบพรบ!EF32"")"),0)</f>
        <v>0</v>
      </c>
      <c r="M323" s="93">
        <f ca="1">IFERROR(__xludf.DUMMYFUNCTION("IMPORTRANGE(""https://docs.google.com/spreadsheets/d/1MeEWN-I1oV_STSDYn1IFDPWt_1FKiwhDph83XaGc0o0/edit?usp=sharing"",""งบพรบ!EI32"")"),0)</f>
        <v>0</v>
      </c>
      <c r="N323" s="93">
        <f ca="1">IFERROR(__xludf.DUMMYFUNCTION("IMPORTRANGE(""https://docs.google.com/spreadsheets/d/1MeEWN-I1oV_STSDYn1IFDPWt_1FKiwhDph83XaGc0o0/edit?usp=sharing"",""งบพรบ!EK32"")"),0)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IFERROR(__xludf.DUMMYFUNCTION("IMPORTRANGE(""https://docs.google.com/spreadsheets/d/1QqKyyYR6Q21VydFLVH3TRQUabQu_ym0Zz7PgGX0-kHA/edit?usp=sharing"",""แผน!EF32"")"),1)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IFERROR(__xludf.DUMMYFUNCTION("IMPORTRANGE(""https://docs.google.com/spreadsheets/d/1QqKyyYR6Q21VydFLVH3TRQUabQu_ym0Zz7PgGX0-kHA/edit?usp=sharing"",""แผน!EG32"")"),1800)</f>
        <v>1800</v>
      </c>
      <c r="J327" s="444">
        <f ca="1">J338+J341+J342+J343</f>
        <v>2220</v>
      </c>
      <c r="K327" s="445">
        <f ca="1">IF(I327&gt;0,J327*100/I327,0)</f>
        <v>123.33333333333333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174000</v>
      </c>
      <c r="M328" s="155">
        <f t="shared" ca="1" si="149"/>
        <v>133000</v>
      </c>
      <c r="N328" s="155">
        <f t="shared" ca="1" si="149"/>
        <v>90152.74</v>
      </c>
      <c r="O328" s="155">
        <f t="shared" ref="O328:O336" ca="1" si="150">IF(L328&gt;0,N328*100/L328,0)</f>
        <v>51.811919540229887</v>
      </c>
      <c r="P328" s="155">
        <f t="shared" ref="P328:P336" ca="1" si="151">IF(M328&gt;0,N328*100/M328,0)</f>
        <v>67.784015037593988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174000</v>
      </c>
      <c r="M330" s="93">
        <f t="shared" ca="1" si="152"/>
        <v>133000</v>
      </c>
      <c r="N330" s="93">
        <f t="shared" ca="1" si="152"/>
        <v>90152.74</v>
      </c>
      <c r="O330" s="93">
        <f t="shared" ca="1" si="150"/>
        <v>51.811919540229887</v>
      </c>
      <c r="P330" s="93">
        <f t="shared" ca="1" si="151"/>
        <v>67.784015037593988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174000</v>
      </c>
      <c r="M331" s="497">
        <f t="shared" ca="1" si="153"/>
        <v>133000</v>
      </c>
      <c r="N331" s="497">
        <f t="shared" ca="1" si="153"/>
        <v>90152.74</v>
      </c>
      <c r="O331" s="497">
        <f t="shared" ca="1" si="150"/>
        <v>51.811919540229887</v>
      </c>
      <c r="P331" s="497">
        <f t="shared" ca="1" si="151"/>
        <v>67.784015037593988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IFERROR(__xludf.DUMMYFUNCTION("IMPORTRANGE(""https://docs.google.com/spreadsheets/d/1MeEWN-I1oV_STSDYn1IFDPWt_1FKiwhDph83XaGc0o0/edit?usp=sharing"",""งบพรบ!EM32"")"),174000)</f>
        <v>174000</v>
      </c>
      <c r="M333" s="93">
        <f ca="1">IFERROR(__xludf.DUMMYFUNCTION("IMPORTRANGE(""https://docs.google.com/spreadsheets/d/1MeEWN-I1oV_STSDYn1IFDPWt_1FKiwhDph83XaGc0o0/edit?usp=sharing"",""งบพรบ!ER32"")"),133000)</f>
        <v>133000</v>
      </c>
      <c r="N333" s="93">
        <f ca="1">IFERROR(__xludf.DUMMYFUNCTION("IMPORTRANGE(""https://docs.google.com/spreadsheets/d/1MeEWN-I1oV_STSDYn1IFDPWt_1FKiwhDph83XaGc0o0/edit?usp=sharing"",""งบพรบ!ET32"")"),90152.74)</f>
        <v>90152.74</v>
      </c>
      <c r="O333" s="93">
        <f t="shared" ca="1" si="150"/>
        <v>51.811919540229887</v>
      </c>
      <c r="P333" s="93">
        <f t="shared" ca="1" si="151"/>
        <v>67.784015037593988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IFERROR(__xludf.DUMMYFUNCTION("IMPORTRANGE(""https://docs.google.com/spreadsheets/d/1MeEWN-I1oV_STSDYn1IFDPWt_1FKiwhDph83XaGc0o0/edit?usp=sharing"",""งบพรบ!EP32"")"),0)</f>
        <v>0</v>
      </c>
      <c r="M336" s="93">
        <f ca="1">IFERROR(__xludf.DUMMYFUNCTION("IMPORTRANGE(""https://docs.google.com/spreadsheets/d/1MeEWN-I1oV_STSDYn1IFDPWt_1FKiwhDph83XaGc0o0/edit?usp=sharing"",""งบพรบ!ES32"")"),0)</f>
        <v>0</v>
      </c>
      <c r="N336" s="93">
        <f ca="1">IFERROR(__xludf.DUMMYFUNCTION("IMPORTRANGE(""https://docs.google.com/spreadsheets/d/1MeEWN-I1oV_STSDYn1IFDPWt_1FKiwhDph83XaGc0o0/edit?usp=sharing"",""งบพรบ!EU32"")"),0)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IFERROR(__xludf.DUMMYFUNCTION("IMPORTRANGE(""https://docs.google.com/spreadsheets/d/1QqKyyYR6Q21VydFLVH3TRQUabQu_ym0Zz7PgGX0-kHA/edit?usp=sharing"",""แผน!EG32"")"),1800)</f>
        <v>1800</v>
      </c>
      <c r="J338" s="270">
        <f ca="1">IFERROR(__xludf.DUMMYFUNCTION("IMPORTRANGE(""https://docs.google.com/spreadsheets/d/1kVcqe37tkHyjCSG3S0O1AXqVkqjo8mSIZil3BcpIysc/edit?usp=sharing"",""ศูนย์!D32"")"),2078)</f>
        <v>2078</v>
      </c>
      <c r="K338" s="497">
        <f ca="1">IF(I338&gt;0,J338*100/I338,0)</f>
        <v>115.44444444444444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IFERROR(__xludf.DUMMYFUNCTION("IMPORTRANGE(""https://docs.google.com/spreadsheets/d/1QqKyyYR6Q21VydFLVH3TRQUabQu_ym0Zz7PgGX0-kHA/edit?usp=sharing"",""แผน!EH32"")"),8)</f>
        <v>8</v>
      </c>
      <c r="J340" s="270">
        <f ca="1">IFERROR(__xludf.DUMMYFUNCTION("IMPORTRANGE(""https://docs.google.com/spreadsheets/d/1kVcqe37tkHyjCSG3S0O1AXqVkqjo8mSIZil3BcpIysc/edit?usp=sharing"",""ศูนย์!E32"")"),5)</f>
        <v>5</v>
      </c>
      <c r="K340" s="497">
        <f ca="1">IF(I340&gt;0,J340*100/I340,0)</f>
        <v>62.5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IFERROR(__xludf.DUMMYFUNCTION("IMPORTRANGE(""https://docs.google.com/spreadsheets/d/1kVcqe37tkHyjCSG3S0O1AXqVkqjo8mSIZil3BcpIysc/edit?usp=sharing"",""ศูนย์!F32"")"),142)</f>
        <v>142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1058490</v>
      </c>
      <c r="M345" s="155">
        <f t="shared" ca="1" si="155"/>
        <v>787430</v>
      </c>
      <c r="N345" s="155">
        <f t="shared" ca="1" si="155"/>
        <v>599849.04</v>
      </c>
      <c r="O345" s="155">
        <f t="shared" ref="O345:O353" ca="1" si="156">IF(L345&gt;0,N345*100/L345,0)</f>
        <v>56.670260465379926</v>
      </c>
      <c r="P345" s="155">
        <f t="shared" ref="P345:P353" ca="1" si="157">IF(M345&gt;0,N345*100/M345,0)</f>
        <v>76.178078051382343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1058490</v>
      </c>
      <c r="M347" s="93">
        <f t="shared" ca="1" si="158"/>
        <v>787430</v>
      </c>
      <c r="N347" s="93">
        <f t="shared" ca="1" si="158"/>
        <v>599849.04</v>
      </c>
      <c r="O347" s="93">
        <f t="shared" ca="1" si="156"/>
        <v>56.670260465379926</v>
      </c>
      <c r="P347" s="93">
        <f t="shared" ca="1" si="157"/>
        <v>76.178078051382343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974690</v>
      </c>
      <c r="M348" s="497">
        <f t="shared" ca="1" si="159"/>
        <v>703630</v>
      </c>
      <c r="N348" s="497">
        <f t="shared" ca="1" si="159"/>
        <v>516049.04</v>
      </c>
      <c r="O348" s="497">
        <f t="shared" ca="1" si="156"/>
        <v>52.944940442602267</v>
      </c>
      <c r="P348" s="497">
        <f t="shared" ca="1" si="157"/>
        <v>73.340966132768642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IFERROR(__xludf.DUMMYFUNCTION("IMPORTRANGE(""https://docs.google.com/spreadsheets/d/1MeEWN-I1oV_STSDYn1IFDPWt_1FKiwhDph83XaGc0o0/edit?usp=sharing"",""งบพรบ!EW32"")"),974690)</f>
        <v>974690</v>
      </c>
      <c r="M350" s="93">
        <f ca="1">IFERROR(__xludf.DUMMYFUNCTION("IMPORTRANGE(""https://docs.google.com/spreadsheets/d/1MeEWN-I1oV_STSDYn1IFDPWt_1FKiwhDph83XaGc0o0/edit?usp=sharing"",""งบพรบ!FB32"")"),703630)</f>
        <v>703630</v>
      </c>
      <c r="N350" s="93">
        <f ca="1">IFERROR(__xludf.DUMMYFUNCTION("IMPORTRANGE(""https://docs.google.com/spreadsheets/d/1MeEWN-I1oV_STSDYn1IFDPWt_1FKiwhDph83XaGc0o0/edit?usp=sharing"",""งบพรบ!FD32"")"),516049.04)</f>
        <v>516049.04</v>
      </c>
      <c r="O350" s="93">
        <f t="shared" ca="1" si="156"/>
        <v>52.944940442602267</v>
      </c>
      <c r="P350" s="93">
        <f t="shared" ca="1" si="157"/>
        <v>73.340966132768642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83800</v>
      </c>
      <c r="M351" s="497">
        <f t="shared" ca="1" si="160"/>
        <v>83800</v>
      </c>
      <c r="N351" s="497">
        <f t="shared" ca="1" si="160"/>
        <v>83800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IFERROR(__xludf.DUMMYFUNCTION("IMPORTRANGE(""https://docs.google.com/spreadsheets/d/1MeEWN-I1oV_STSDYn1IFDPWt_1FKiwhDph83XaGc0o0/edit?usp=sharing"",""งบพรบ!EZ32"")"),83800)</f>
        <v>83800</v>
      </c>
      <c r="M353" s="93">
        <f ca="1">IFERROR(__xludf.DUMMYFUNCTION("IMPORTRANGE(""https://docs.google.com/spreadsheets/d/1MeEWN-I1oV_STSDYn1IFDPWt_1FKiwhDph83XaGc0o0/edit?usp=sharing"",""งบพรบ!FC32"")"),83800)</f>
        <v>83800</v>
      </c>
      <c r="N353" s="93">
        <f ca="1">IFERROR(__xludf.DUMMYFUNCTION("IMPORTRANGE(""https://docs.google.com/spreadsheets/d/1MeEWN-I1oV_STSDYn1IFDPWt_1FKiwhDph83XaGc0o0/edit?usp=sharing"",""งบพรบ!FE32"")"),83800)</f>
        <v>83800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IFERROR(__xludf.DUMMYFUNCTION("IMPORTRANGE(""https://docs.google.com/spreadsheets/d/1QqKyyYR6Q21VydFLVH3TRQUabQu_ym0Zz7PgGX0-kHA/edit?usp=sharing"",""แผน!EP32"")"),250)</f>
        <v>250</v>
      </c>
      <c r="J355" s="464">
        <f ca="1">J362</f>
        <v>86</v>
      </c>
      <c r="K355" s="465">
        <f ca="1">IF(I355&gt;0,J355*100/I355,0)</f>
        <v>34.4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IFERROR(__xludf.DUMMYFUNCTION("IMPORTRANGE(""https://docs.google.com/spreadsheets/d/1XWAQStnk-4SwqDmLtmXYiTMKHgktTP8We1SCoS47DrQ/edit?usp=sharing"",""จัดที่ดิน!W32"")"),241)</f>
        <v>241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IFERROR(__xludf.DUMMYFUNCTION("IMPORTRANGE(""https://docs.google.com/spreadsheets/d/1QqKyyYR6Q21VydFLVH3TRQUabQu_ym0Zz7PgGX0-kHA/edit?usp=sharing"",""แผน!EO32"")"),2500)</f>
        <v>2500</v>
      </c>
      <c r="J359" s="270">
        <f ca="1">IFERROR(__xludf.DUMMYFUNCTION("IMPORTRANGE(""https://docs.google.com/spreadsheets/d/1XWAQStnk-4SwqDmLtmXYiTMKHgktTP8We1SCoS47DrQ/edit?usp=sharing"",""จัดที่ดิน!X32"")"),2002.75)</f>
        <v>2002.75</v>
      </c>
      <c r="K359" s="497">
        <f t="shared" ca="1" si="161"/>
        <v>80.11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IFERROR(__xludf.DUMMYFUNCTION("IMPORTRANGE(""https://docs.google.com/spreadsheets/d/1QqKyyYR6Q21VydFLVH3TRQUabQu_ym0Zz7PgGX0-kHA/edit?usp=sharing"",""แผน!EP32"")"),250)</f>
        <v>250</v>
      </c>
      <c r="J360" s="270">
        <f ca="1">IFERROR(__xludf.DUMMYFUNCTION("IMPORTRANGE(""https://docs.google.com/spreadsheets/d/1XWAQStnk-4SwqDmLtmXYiTMKHgktTP8We1SCoS47DrQ/edit?usp=sharing"",""จัดที่ดิน!Y32"")"),244)</f>
        <v>244</v>
      </c>
      <c r="K360" s="497">
        <f t="shared" ca="1" si="161"/>
        <v>97.6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IFERROR(__xludf.DUMMYFUNCTION("IMPORTRANGE(""https://docs.google.com/spreadsheets/d/1XWAQStnk-4SwqDmLtmXYiTMKHgktTP8We1SCoS47DrQ/edit?usp=sharing"",""จัดที่ดิน!Z32"")"),1988.64)</f>
        <v>1988.64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IFERROR(__xludf.DUMMYFUNCTION("IMPORTRANGE(""https://docs.google.com/spreadsheets/d/1QqKyyYR6Q21VydFLVH3TRQUabQu_ym0Zz7PgGX0-kHA/edit?usp=sharing"",""แผน!EP32"")"),250)</f>
        <v>250</v>
      </c>
      <c r="J362" s="270">
        <f ca="1">IFERROR(__xludf.DUMMYFUNCTION("IMPORTRANGE(""https://docs.google.com/spreadsheets/d/1XWAQStnk-4SwqDmLtmXYiTMKHgktTP8We1SCoS47DrQ/edit?usp=sharing"",""จัดที่ดิน!AA32"")"),86)</f>
        <v>86</v>
      </c>
      <c r="K362" s="497">
        <f t="shared" ca="1" si="161"/>
        <v>34.4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IFERROR(__xludf.DUMMYFUNCTION("IMPORTRANGE(""https://docs.google.com/spreadsheets/d/1XWAQStnk-4SwqDmLtmXYiTMKHgktTP8We1SCoS47DrQ/edit?usp=sharing"",""จัดที่ดิน!AB32"")"),600.069999999999)</f>
        <v>600.06999999999903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700</v>
      </c>
      <c r="J364" s="478">
        <f t="shared" ca="1" si="162"/>
        <v>423</v>
      </c>
      <c r="K364" s="479">
        <f t="shared" ca="1" si="161"/>
        <v>60.428571428571431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IFERROR(__xludf.DUMMYFUNCTION("IMPORTRANGE(""https://docs.google.com/spreadsheets/d/1QqKyyYR6Q21VydFLVH3TRQUabQu_ym0Zz7PgGX0-kHA/edit?usp=sharing"",""แผน!EJ32"")"),50)</f>
        <v>50</v>
      </c>
      <c r="J365" s="490">
        <f ca="1">J372</f>
        <v>31</v>
      </c>
      <c r="K365" s="491">
        <f t="shared" ca="1" si="161"/>
        <v>62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IFERROR(__xludf.DUMMYFUNCTION("IMPORTRANGE(""https://docs.google.com/spreadsheets/d/1XWAQStnk-4SwqDmLtmXYiTMKHgktTP8We1SCoS47DrQ/edit?usp=sharing"",""จัดที่ดิน!E32"")"),44)</f>
        <v>44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IFERROR(__xludf.DUMMYFUNCTION("IMPORTRANGE(""https://docs.google.com/spreadsheets/d/1QqKyyYR6Q21VydFLVH3TRQUabQu_ym0Zz7PgGX0-kHA/edit?usp=sharing"",""แผน!EI32"")"),300)</f>
        <v>300</v>
      </c>
      <c r="J369" s="270">
        <f ca="1">IFERROR(__xludf.DUMMYFUNCTION("IMPORTRANGE(""https://docs.google.com/spreadsheets/d/1XWAQStnk-4SwqDmLtmXYiTMKHgktTP8We1SCoS47DrQ/edit?usp=sharing"",""จัดที่ดิน!F32"")"),269.6)</f>
        <v>269.60000000000002</v>
      </c>
      <c r="K369" s="497">
        <f t="shared" ca="1" si="163"/>
        <v>89.866666666666674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IFERROR(__xludf.DUMMYFUNCTION("IMPORTRANGE(""https://docs.google.com/spreadsheets/d/1QqKyyYR6Q21VydFLVH3TRQUabQu_ym0Zz7PgGX0-kHA/edit?usp=sharing"",""แผน!EJ32"")"),50)</f>
        <v>50</v>
      </c>
      <c r="J370" s="270">
        <f ca="1">IFERROR(__xludf.DUMMYFUNCTION("IMPORTRANGE(""https://docs.google.com/spreadsheets/d/1XWAQStnk-4SwqDmLtmXYiTMKHgktTP8We1SCoS47DrQ/edit?usp=sharing"",""จัดที่ดิน!G32"")"),47)</f>
        <v>47</v>
      </c>
      <c r="K370" s="497">
        <f t="shared" ca="1" si="163"/>
        <v>94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IFERROR(__xludf.DUMMYFUNCTION("IMPORTRANGE(""https://docs.google.com/spreadsheets/d/1XWAQStnk-4SwqDmLtmXYiTMKHgktTP8We1SCoS47DrQ/edit?usp=sharing"",""จัดที่ดิน!H32"")"),255.49)</f>
        <v>255.49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IFERROR(__xludf.DUMMYFUNCTION("IMPORTRANGE(""https://docs.google.com/spreadsheets/d/1QqKyyYR6Q21VydFLVH3TRQUabQu_ym0Zz7PgGX0-kHA/edit?usp=sharing"",""แผน!EJ32"")"),50)</f>
        <v>50</v>
      </c>
      <c r="J372" s="270">
        <f ca="1">IFERROR(__xludf.DUMMYFUNCTION("IMPORTRANGE(""https://docs.google.com/spreadsheets/d/1XWAQStnk-4SwqDmLtmXYiTMKHgktTP8We1SCoS47DrQ/edit?usp=sharing"",""จัดที่ดิน!I32"")"),31)</f>
        <v>31</v>
      </c>
      <c r="K372" s="497">
        <f t="shared" ca="1" si="163"/>
        <v>62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IFERROR(__xludf.DUMMYFUNCTION("IMPORTRANGE(""https://docs.google.com/spreadsheets/d/1XWAQStnk-4SwqDmLtmXYiTMKHgktTP8We1SCoS47DrQ/edit?usp=sharing"",""จัดที่ดิน!J32"")"),168.25)</f>
        <v>168.25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IFERROR(__xludf.DUMMYFUNCTION("IMPORTRANGE(""https://docs.google.com/spreadsheets/d/1QqKyyYR6Q21VydFLVH3TRQUabQu_ym0Zz7PgGX0-kHA/edit?usp=sharing"",""แผน!EU32"")"),650)</f>
        <v>650</v>
      </c>
      <c r="J374" s="490">
        <f ca="1">J381</f>
        <v>392</v>
      </c>
      <c r="K374" s="491">
        <f t="shared" ca="1" si="163"/>
        <v>60.307692307692307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IFERROR(__xludf.DUMMYFUNCTION("IMPORTRANGE(""https://docs.google.com/spreadsheets/d/1XWAQStnk-4SwqDmLtmXYiTMKHgktTP8We1SCoS47DrQ/edit?usp=sharing"",""จัดที่ดิน!AH32"")"),197)</f>
        <v>197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IFERROR(__xludf.DUMMYFUNCTION("IMPORTRANGE(""https://docs.google.com/spreadsheets/d/1QqKyyYR6Q21VydFLVH3TRQUabQu_ym0Zz7PgGX0-kHA/edit?usp=sharing"",""แผน!ET32"")"),2200)</f>
        <v>2200</v>
      </c>
      <c r="J378" s="270">
        <f ca="1">IFERROR(__xludf.DUMMYFUNCTION("IMPORTRANGE(""https://docs.google.com/spreadsheets/d/1XWAQStnk-4SwqDmLtmXYiTMKHgktTP8We1SCoS47DrQ/edit?usp=sharing"",""จัดที่ดิน!AI32"")"),1733.15)</f>
        <v>1733.15</v>
      </c>
      <c r="K378" s="497">
        <f t="shared" ca="1" si="164"/>
        <v>78.779545454545456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IFERROR(__xludf.DUMMYFUNCTION("IMPORTRANGE(""https://docs.google.com/spreadsheets/d/1QqKyyYR6Q21VydFLVH3TRQUabQu_ym0Zz7PgGX0-kHA/edit?usp=sharing"",""แผน!EU32"")"),650)</f>
        <v>650</v>
      </c>
      <c r="J379" s="270">
        <f ca="1">IFERROR(__xludf.DUMMYFUNCTION("IMPORTRANGE(""https://docs.google.com/spreadsheets/d/1XWAQStnk-4SwqDmLtmXYiTMKHgktTP8We1SCoS47DrQ/edit?usp=sharing"",""จัดที่ดิน!AJ32"")"),558)</f>
        <v>558</v>
      </c>
      <c r="K379" s="497">
        <f t="shared" ca="1" si="164"/>
        <v>85.84615384615384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IFERROR(__xludf.DUMMYFUNCTION("IMPORTRANGE(""https://docs.google.com/spreadsheets/d/1XWAQStnk-4SwqDmLtmXYiTMKHgktTP8We1SCoS47DrQ/edit?usp=sharing"",""จัดที่ดิน!AK32"")"),5985.73)</f>
        <v>5985.73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IFERROR(__xludf.DUMMYFUNCTION("IMPORTRANGE(""https://docs.google.com/spreadsheets/d/1QqKyyYR6Q21VydFLVH3TRQUabQu_ym0Zz7PgGX0-kHA/edit?usp=sharing"",""แผน!EU32"")"),650)</f>
        <v>650</v>
      </c>
      <c r="J381" s="270">
        <f ca="1">IFERROR(__xludf.DUMMYFUNCTION("IMPORTRANGE(""https://docs.google.com/spreadsheets/d/1XWAQStnk-4SwqDmLtmXYiTMKHgktTP8We1SCoS47DrQ/edit?usp=sharing"",""จัดที่ดิน!AL32"")"),392)</f>
        <v>392</v>
      </c>
      <c r="K381" s="497">
        <f t="shared" ca="1" si="164"/>
        <v>60.307692307692307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IFERROR(__xludf.DUMMYFUNCTION("IMPORTRANGE(""https://docs.google.com/spreadsheets/d/1XWAQStnk-4SwqDmLtmXYiTMKHgktTP8We1SCoS47DrQ/edit?usp=sharing"",""จัดที่ดิน!AM32"")"),4438.65)</f>
        <v>4438.6499999999996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IFERROR(__xludf.DUMMYFUNCTION("IMPORTRANGE(""https://docs.google.com/spreadsheets/d/1QqKyyYR6Q21VydFLVH3TRQUabQu_ym0Zz7PgGX0-kHA/edit?usp=sharing"",""แผน!EW32"")"),50)</f>
        <v>50</v>
      </c>
      <c r="J385" s="504">
        <f ca="1">IFERROR(__xludf.DUMMYFUNCTION("IMPORTRANGE(""https://docs.google.com/spreadsheets/d/1XWAQStnk-4SwqDmLtmXYiTMKHgktTP8We1SCoS47DrQ/edit?usp=sharing"",""จัดที่ดิน!AP32"")"),0)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IFERROR(__xludf.DUMMYFUNCTION("IMPORTRANGE(""https://docs.google.com/spreadsheets/d/1MeEWN-I1oV_STSDYn1IFDPWt_1FKiwhDph83XaGc0o0/edit?usp=sharing"",""งบพรบ!FG32"")"),0)</f>
        <v>0</v>
      </c>
      <c r="M394" s="93">
        <f ca="1">IFERROR(__xludf.DUMMYFUNCTION("IMPORTRANGE(""https://docs.google.com/spreadsheets/d/1MeEWN-I1oV_STSDYn1IFDPWt_1FKiwhDph83XaGc0o0/edit?usp=sharing"",""งบพรบ!FL32"")"),0)</f>
        <v>0</v>
      </c>
      <c r="N394" s="93">
        <f ca="1">IFERROR(__xludf.DUMMYFUNCTION("IMPORTRANGE(""https://docs.google.com/spreadsheets/d/1MeEWN-I1oV_STSDYn1IFDPWt_1FKiwhDph83XaGc0o0/edit?usp=sharing"",""งบพรบ!FN32"")"),0)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IFERROR(__xludf.DUMMYFUNCTION("IMPORTRANGE(""https://docs.google.com/spreadsheets/d/1MeEWN-I1oV_STSDYn1IFDPWt_1FKiwhDph83XaGc0o0/edit?usp=sharing"",""งบพรบ!FJ32"")"),0)</f>
        <v>0</v>
      </c>
      <c r="M397" s="93">
        <f ca="1">IFERROR(__xludf.DUMMYFUNCTION("IMPORTRANGE(""https://docs.google.com/spreadsheets/d/1MeEWN-I1oV_STSDYn1IFDPWt_1FKiwhDph83XaGc0o0/edit?usp=sharing"",""งบพรบ!FM32"")"),0)</f>
        <v>0</v>
      </c>
      <c r="N397" s="93">
        <f ca="1">IFERROR(__xludf.DUMMYFUNCTION("IMPORTRANGE(""https://docs.google.com/spreadsheets/d/1MeEWN-I1oV_STSDYn1IFDPWt_1FKiwhDph83XaGc0o0/edit?usp=sharing"",""งบพรบ!FO32"")"),0)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IFERROR(__xludf.DUMMYFUNCTION("IMPORTRANGE(""https://docs.google.com/spreadsheets/d/1MeEWN-I1oV_STSDYn1IFDPWt_1FKiwhDph83XaGc0o0/edit?usp=sharing"",""งบพรบ!FQ32"")"),0)</f>
        <v>0</v>
      </c>
      <c r="M407" s="93">
        <f ca="1">IFERROR(__xludf.DUMMYFUNCTION("IMPORTRANGE(""https://docs.google.com/spreadsheets/d/1MeEWN-I1oV_STSDYn1IFDPWt_1FKiwhDph83XaGc0o0/edit?usp=sharing"",""งบพรบ!FV32"")"),0)</f>
        <v>0</v>
      </c>
      <c r="N407" s="93">
        <f ca="1">IFERROR(__xludf.DUMMYFUNCTION("IMPORTRANGE(""https://docs.google.com/spreadsheets/d/1MeEWN-I1oV_STSDYn1IFDPWt_1FKiwhDph83XaGc0o0/edit?usp=sharing"",""งบพรบ!FX32"")"),0)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IFERROR(__xludf.DUMMYFUNCTION("IMPORTRANGE(""https://docs.google.com/spreadsheets/d/1MeEWN-I1oV_STSDYn1IFDPWt_1FKiwhDph83XaGc0o0/edit?usp=sharing"",""งบพรบ!FT32"")"),0)</f>
        <v>0</v>
      </c>
      <c r="M410" s="93">
        <f ca="1">IFERROR(__xludf.DUMMYFUNCTION("IMPORTRANGE(""https://docs.google.com/spreadsheets/d/1MeEWN-I1oV_STSDYn1IFDPWt_1FKiwhDph83XaGc0o0/edit?usp=sharing"",""งบพรบ!FW32"")"),0)</f>
        <v>0</v>
      </c>
      <c r="N410" s="93">
        <f ca="1">IFERROR(__xludf.DUMMYFUNCTION("IMPORTRANGE(""https://docs.google.com/spreadsheets/d/1MeEWN-I1oV_STSDYn1IFDPWt_1FKiwhDph83XaGc0o0/edit?usp=sharing"",""งบพรบ!FY32"")"),0)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2862087</v>
      </c>
      <c r="M414" s="552">
        <f t="shared" ca="1" si="181"/>
        <v>2862087</v>
      </c>
      <c r="N414" s="552">
        <f t="shared" si="181"/>
        <v>816174.58</v>
      </c>
      <c r="O414" s="552">
        <f ca="1">IF(L414&gt;0,N414*100/L414,0)</f>
        <v>28.516763466659121</v>
      </c>
      <c r="P414" s="552">
        <f ca="1">IF(M414&gt;0,N414*100/M414,0)</f>
        <v>28.516763466659121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78110</v>
      </c>
      <c r="O419" s="155">
        <f t="shared" ref="O419:O424" ca="1" si="185">IF(L419&gt;0,N419*100/L419,0)</f>
        <v>99.300788202390038</v>
      </c>
      <c r="P419" s="155">
        <f t="shared" ref="P419:P424" ca="1" si="186">IF(M419&gt;0,N419*100/M419,0)</f>
        <v>99.300788202390038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78110</v>
      </c>
      <c r="O421" s="93">
        <f t="shared" ca="1" si="185"/>
        <v>99.300788202390038</v>
      </c>
      <c r="P421" s="93">
        <f t="shared" ca="1" si="186"/>
        <v>99.300788202390038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78110</v>
      </c>
      <c r="O422" s="497">
        <f t="shared" ca="1" si="185"/>
        <v>99.300788202390038</v>
      </c>
      <c r="P422" s="497">
        <f t="shared" ca="1" si="186"/>
        <v>99.300788202390038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IFERROR(__xludf.DUMMYFUNCTION("IMPORTRANGE(""https://docs.google.com/spreadsheets/d/1QqKyyYR6Q21VydFLVH3TRQUabQu_ym0Zz7PgGX0-kHA/edit?usp=sharing"",""แผน!EY32"")"),78660)</f>
        <v>78660</v>
      </c>
      <c r="M424" s="93">
        <f ca="1">L424</f>
        <v>78660</v>
      </c>
      <c r="N424" s="93">
        <f>N425+N426+N427+N428</f>
        <v>78110</v>
      </c>
      <c r="O424" s="93">
        <f t="shared" ca="1" si="185"/>
        <v>99.300788202390038</v>
      </c>
      <c r="P424" s="93">
        <f t="shared" ca="1" si="186"/>
        <v>99.300788202390038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f>48400</f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5760+3000+18000+3500-550</f>
        <v>29710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60</v>
      </c>
      <c r="J442" s="588">
        <f t="shared" si="195"/>
        <v>60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524600</v>
      </c>
      <c r="M444" s="195">
        <f t="shared" ca="1" si="197"/>
        <v>524600</v>
      </c>
      <c r="N444" s="195">
        <f t="shared" si="197"/>
        <v>129485</v>
      </c>
      <c r="O444" s="195">
        <f t="shared" ref="O444:O449" ca="1" si="198">IF(L444&gt;0,N444*100/L444,0)</f>
        <v>24.682615325962637</v>
      </c>
      <c r="P444" s="195">
        <f t="shared" ref="P444:P449" ca="1" si="199">IF(M444&gt;0,N444*100/M444,0)</f>
        <v>24.682615325962637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524600</v>
      </c>
      <c r="M446" s="93">
        <f t="shared" ca="1" si="200"/>
        <v>524600</v>
      </c>
      <c r="N446" s="93">
        <f t="shared" si="200"/>
        <v>129485</v>
      </c>
      <c r="O446" s="93">
        <f t="shared" ca="1" si="198"/>
        <v>24.682615325962637</v>
      </c>
      <c r="P446" s="93">
        <f t="shared" ca="1" si="199"/>
        <v>24.682615325962637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524600</v>
      </c>
      <c r="M447" s="497">
        <f t="shared" ca="1" si="201"/>
        <v>524600</v>
      </c>
      <c r="N447" s="497">
        <f t="shared" si="201"/>
        <v>129485</v>
      </c>
      <c r="O447" s="497">
        <f t="shared" ca="1" si="198"/>
        <v>24.682615325962637</v>
      </c>
      <c r="P447" s="497">
        <f t="shared" ca="1" si="199"/>
        <v>24.682615325962637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IFERROR(__xludf.DUMMYFUNCTION("IMPORTRANGE(""https://docs.google.com/spreadsheets/d/1QqKyyYR6Q21VydFLVH3TRQUabQu_ym0Zz7PgGX0-kHA/edit?usp=sharing"",""แผน!FJ32"")"),524600)</f>
        <v>524600</v>
      </c>
      <c r="M449" s="93">
        <f ca="1">L449</f>
        <v>524600</v>
      </c>
      <c r="N449" s="93">
        <f>N450+N451+N452+N453</f>
        <v>129485</v>
      </c>
      <c r="O449" s="93">
        <f t="shared" ca="1" si="198"/>
        <v>24.682615325962637</v>
      </c>
      <c r="P449" s="93">
        <f t="shared" ca="1" si="199"/>
        <v>24.682615325962637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57165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52000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10800+8960+560</f>
        <v>20320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IFERROR(__xludf.DUMMYFUNCTION("IMPORTRANGE(""https://docs.google.com/spreadsheets/d/1QqKyyYR6Q21VydFLVH3TRQUabQu_ym0Zz7PgGX0-kHA/edit?usp=sharing"",""แผน!FN32"")"),60)</f>
        <v>60</v>
      </c>
      <c r="J460" s="215">
        <v>60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IFERROR(__xludf.DUMMYFUNCTION("IMPORTRANGE(""https://docs.google.com/spreadsheets/d/1QqKyyYR6Q21VydFLVH3TRQUabQu_ym0Zz7PgGX0-kHA/edit?usp=sharing"",""แผน!FO32"")"),300)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IFERROR(__xludf.DUMMYFUNCTION("IMPORTRANGE(""https://docs.google.com/spreadsheets/d/1QqKyyYR6Q21VydFLVH3TRQUabQu_ym0Zz7PgGX0-kHA/edit?usp=sharing"",""แผน!FO32"")"),300)</f>
        <v>300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IFERROR(__xludf.DUMMYFUNCTION("IMPORTRANGE(""https://docs.google.com/spreadsheets/d/1QqKyyYR6Q21VydFLVH3TRQUabQu_ym0Zz7PgGX0-kHA/edit?usp=sharing"",""แผน!FN32"")"),60)</f>
        <v>60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IFERROR(__xludf.DUMMYFUNCTION("IMPORTRANGE(""https://docs.google.com/spreadsheets/d/1QqKyyYR6Q21VydFLVH3TRQUabQu_ym0Zz7PgGX0-kHA/edit?usp=sharing"",""แผน!FX32"")"),131)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IFERROR(__xludf.DUMMYFUNCTION("IMPORTRANGE(""https://docs.google.com/spreadsheets/d/1QqKyyYR6Q21VydFLVH3TRQUabQu_ym0Zz7PgGX0-kHA/edit?usp=sharing"",""แผน!FW32"")"),1300)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1170468</v>
      </c>
      <c r="M467" s="195">
        <f t="shared" ca="1" si="206"/>
        <v>1170468</v>
      </c>
      <c r="N467" s="195">
        <f t="shared" si="206"/>
        <v>158134.71</v>
      </c>
      <c r="O467" s="195">
        <f t="shared" ref="O467:O472" ca="1" si="207">IF(L467&gt;0,N467*100/L467,0)</f>
        <v>13.510383026276669</v>
      </c>
      <c r="P467" s="195">
        <f t="shared" ref="P467:P472" ca="1" si="208">IF(M467&gt;0,N467*100/M467,0)</f>
        <v>13.510383026276669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1170468</v>
      </c>
      <c r="M469" s="93">
        <f t="shared" ca="1" si="209"/>
        <v>1170468</v>
      </c>
      <c r="N469" s="93">
        <f t="shared" si="209"/>
        <v>158134.71</v>
      </c>
      <c r="O469" s="93">
        <f t="shared" ca="1" si="207"/>
        <v>13.510383026276669</v>
      </c>
      <c r="P469" s="93">
        <f t="shared" ca="1" si="208"/>
        <v>13.510383026276669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1170468</v>
      </c>
      <c r="M470" s="497">
        <f t="shared" ca="1" si="210"/>
        <v>1170468</v>
      </c>
      <c r="N470" s="497">
        <f t="shared" si="210"/>
        <v>158134.71</v>
      </c>
      <c r="O470" s="497">
        <f t="shared" ca="1" si="207"/>
        <v>13.510383026276669</v>
      </c>
      <c r="P470" s="497">
        <f t="shared" ca="1" si="208"/>
        <v>13.510383026276669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IFERROR(__xludf.DUMMYFUNCTION("IMPORTRANGE(""https://docs.google.com/spreadsheets/d/1QqKyyYR6Q21VydFLVH3TRQUabQu_ym0Zz7PgGX0-kHA/edit?usp=sharing"",""แผน!FS32"")"),1170468)</f>
        <v>1170468</v>
      </c>
      <c r="M472" s="93">
        <f ca="1">L472</f>
        <v>1170468</v>
      </c>
      <c r="N472" s="93">
        <f>N473+N474+N475+N476</f>
        <v>158134.71</v>
      </c>
      <c r="O472" s="93">
        <f t="shared" ca="1" si="207"/>
        <v>13.510383026276669</v>
      </c>
      <c r="P472" s="93">
        <f t="shared" ca="1" si="208"/>
        <v>13.510383026276669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78699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51535.71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3200+3900+2500+9750+7990+560</f>
        <v>27900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IFERROR(__xludf.DUMMYFUNCTION("IMPORTRANGE(""https://docs.google.com/spreadsheets/d/1QqKyyYR6Q21VydFLVH3TRQUabQu_ym0Zz7PgGX0-kHA/edit?usp=sharing"",""แผน!FY32"")"),1170)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IFERROR(__xludf.DUMMYFUNCTION("IMPORTRANGE(""https://docs.google.com/spreadsheets/d/1QqKyyYR6Q21VydFLVH3TRQUabQu_ym0Zz7PgGX0-kHA/edit?usp=sharing"",""แผน!FZ32"")"),117)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IFERROR(__xludf.DUMMYFUNCTION("IMPORTRANGE(""https://docs.google.com/spreadsheets/d/1QqKyyYR6Q21VydFLVH3TRQUabQu_ym0Zz7PgGX0-kHA/edit?usp=sharing"",""แผน!GA32"")"),130)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IFERROR(__xludf.DUMMYFUNCTION("IMPORTRANGE(""https://docs.google.com/spreadsheets/d/1QqKyyYR6Q21VydFLVH3TRQUabQu_ym0Zz7PgGX0-kHA/edit?usp=sharing"",""แผน!GB32"")"),13)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IFERROR(__xludf.DUMMYFUNCTION("IMPORTRANGE(""https://docs.google.com/spreadsheets/d/1QqKyyYR6Q21VydFLVH3TRQUabQu_ym0Zz7PgGX0-kHA/edit?usp=sharing"",""แผน!FY32"")"),1170)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IFERROR(__xludf.DUMMYFUNCTION("IMPORTRANGE(""https://docs.google.com/spreadsheets/d/1QqKyyYR6Q21VydFLVH3TRQUabQu_ym0Zz7PgGX0-kHA/edit?usp=sharing"",""แผน!GA32"")"),130)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30</v>
      </c>
      <c r="J522" s="706">
        <f t="shared" ca="1" si="225"/>
        <v>30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43124</v>
      </c>
      <c r="O523" s="195">
        <f t="shared" ref="O523:O528" ca="1" si="227">IF(L523&gt;0,N523*100/L523,0)</f>
        <v>15.553631969992065</v>
      </c>
      <c r="P523" s="195">
        <f t="shared" ref="P523:P528" ca="1" si="228">IF(M523&gt;0,N523*100/M523,0)</f>
        <v>15.553631969992065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43124</v>
      </c>
      <c r="O525" s="93">
        <f t="shared" ca="1" si="227"/>
        <v>15.553631969992065</v>
      </c>
      <c r="P525" s="93">
        <f t="shared" ca="1" si="228"/>
        <v>15.553631969992065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277260</v>
      </c>
      <c r="M526" s="497">
        <f t="shared" ca="1" si="230"/>
        <v>277260</v>
      </c>
      <c r="N526" s="497">
        <f t="shared" si="230"/>
        <v>43124</v>
      </c>
      <c r="O526" s="497">
        <f t="shared" ca="1" si="227"/>
        <v>15.553631969992065</v>
      </c>
      <c r="P526" s="497">
        <f t="shared" ca="1" si="228"/>
        <v>15.553631969992065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IFERROR(__xludf.DUMMYFUNCTION("IMPORTRANGE(""https://docs.google.com/spreadsheets/d/1QqKyyYR6Q21VydFLVH3TRQUabQu_ym0Zz7PgGX0-kHA/edit?usp=sharing"",""แผน!GQ32"")"),277260)</f>
        <v>277260</v>
      </c>
      <c r="M528" s="93">
        <f ca="1">L528</f>
        <v>277260</v>
      </c>
      <c r="N528" s="93">
        <f>N529+N530+N531+N532</f>
        <v>43124</v>
      </c>
      <c r="O528" s="93">
        <f t="shared" ca="1" si="227"/>
        <v>15.553631969992065</v>
      </c>
      <c r="P528" s="93">
        <f t="shared" ca="1" si="228"/>
        <v>15.553631969992065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f>20510+8180</f>
        <v>28690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f>2994+7500+3940</f>
        <v>14434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IFERROR(__xludf.DUMMYFUNCTION("IMPORTRANGE(""https://docs.google.com/spreadsheets/d/1QqKyyYR6Q21VydFLVH3TRQUabQu_ym0Zz7PgGX0-kHA/edit?usp=sharing"",""แผน!GU32"")"),30)</f>
        <v>30</v>
      </c>
      <c r="J537" s="679">
        <f ca="1">IF(AND(J538=I538,J539=I539,J540=I540,J541=I541),I537,0)</f>
        <v>30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IFERROR(__xludf.DUMMYFUNCTION("IMPORTRANGE(""https://docs.google.com/spreadsheets/d/1QqKyyYR6Q21VydFLVH3TRQUabQu_ym0Zz7PgGX0-kHA/edit?usp=sharing"",""แผน!GV32"")"),30)</f>
        <v>30</v>
      </c>
      <c r="J538" s="215">
        <v>30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IFERROR(__xludf.DUMMYFUNCTION("IMPORTRANGE(""https://docs.google.com/spreadsheets/d/1QqKyyYR6Q21VydFLVH3TRQUabQu_ym0Zz7PgGX0-kHA/edit?usp=sharing"",""แผน!GY32"")"),30)</f>
        <v>30</v>
      </c>
      <c r="J541" s="215">
        <v>30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IFERROR(__xludf.DUMMYFUNCTION("IMPORTRANGE(""https://docs.google.com/spreadsheets/d/1QqKyyYR6Q21VydFLVH3TRQUabQu_ym0Zz7PgGX0-kHA/edit?usp=sharing"",""แผน!GZ32"")"),30)</f>
        <v>30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43969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406544</v>
      </c>
      <c r="M544" s="155">
        <f t="shared" ca="1" si="236"/>
        <v>406544</v>
      </c>
      <c r="N544" s="155">
        <f t="shared" si="236"/>
        <v>179927</v>
      </c>
      <c r="O544" s="155">
        <f t="shared" ref="O544:O549" ca="1" si="237">IF(L544&gt;0,N544*100/L544,0)</f>
        <v>44.257694124129245</v>
      </c>
      <c r="P544" s="155">
        <f t="shared" ref="P544:P549" ca="1" si="238">IF(M544&gt;0,N544*100/M544,0)</f>
        <v>44.257694124129245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406544</v>
      </c>
      <c r="M546" s="93">
        <f t="shared" ca="1" si="240"/>
        <v>406544</v>
      </c>
      <c r="N546" s="93">
        <f t="shared" si="240"/>
        <v>179927</v>
      </c>
      <c r="O546" s="93">
        <f t="shared" ca="1" si="237"/>
        <v>44.257694124129245</v>
      </c>
      <c r="P546" s="93">
        <f t="shared" ca="1" si="238"/>
        <v>44.257694124129245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406544</v>
      </c>
      <c r="M547" s="497">
        <f t="shared" ca="1" si="241"/>
        <v>406544</v>
      </c>
      <c r="N547" s="497">
        <f t="shared" si="241"/>
        <v>179927</v>
      </c>
      <c r="O547" s="497">
        <f t="shared" ca="1" si="237"/>
        <v>44.257694124129245</v>
      </c>
      <c r="P547" s="497">
        <f t="shared" ca="1" si="238"/>
        <v>44.257694124129245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IFERROR(__xludf.DUMMYFUNCTION("IMPORTRANGE(""https://docs.google.com/spreadsheets/d/1QqKyyYR6Q21VydFLVH3TRQUabQu_ym0Zz7PgGX0-kHA/edit?usp=sharing"",""แผน!HB32"")"),406544)</f>
        <v>406544</v>
      </c>
      <c r="M549" s="93">
        <f ca="1">L549</f>
        <v>406544</v>
      </c>
      <c r="N549" s="93">
        <f>N550+N551+N552+N553+N554</f>
        <v>179927</v>
      </c>
      <c r="O549" s="93">
        <f t="shared" ca="1" si="237"/>
        <v>44.257694124129245</v>
      </c>
      <c r="P549" s="93">
        <f t="shared" ca="1" si="238"/>
        <v>44.257694124129245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52000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31750+38870+9566+30538+6956+5247+5000</f>
        <v>127927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43969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IFERROR(__xludf.DUMMYFUNCTION("IMPORTRANGE(""https://docs.google.com/spreadsheets/d/1QqKyyYR6Q21VydFLVH3TRQUabQu_ym0Zz7PgGX0-kHA/edit?usp=sharing"",""แผน!HH32"")"),43969)</f>
        <v>43969</v>
      </c>
      <c r="J560" s="193">
        <f t="shared" ref="J560:J561" si="247">J562+J564+J566</f>
        <v>43969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IFERROR(__xludf.DUMMYFUNCTION("IMPORTRANGE(""https://docs.google.com/spreadsheets/d/1QqKyyYR6Q21VydFLVH3TRQUabQu_ym0Zz7PgGX0-kHA/edit?usp=sharing"",""แผน!HG32"")"),4713)</f>
        <v>4713</v>
      </c>
      <c r="J561" s="193">
        <f t="shared" si="247"/>
        <v>4713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34293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3886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8547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1129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128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IFERROR(__xludf.DUMMYFUNCTION("IMPORTRANGE(""https://docs.google.com/spreadsheets/d/1QqKyyYR6Q21VydFLVH3TRQUabQu_ym0Zz7PgGX0-kHA/edit?usp=sharing"",""แผน!HH32"")"),43969)</f>
        <v>43969</v>
      </c>
      <c r="J568" s="679">
        <f t="shared" ref="J568:J569" si="248">J570+J572+J574</f>
        <v>43969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IFERROR(__xludf.DUMMYFUNCTION("IMPORTRANGE(""https://docs.google.com/spreadsheets/d/1QqKyyYR6Q21VydFLVH3TRQUabQu_ym0Zz7PgGX0-kHA/edit?usp=sharing"",""แผน!HG32"")"),4713)</f>
        <v>4713</v>
      </c>
      <c r="J569" s="679">
        <f t="shared" si="248"/>
        <v>4713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35160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3964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7571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613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1238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IFERROR(__xludf.DUMMYFUNCTION("IMPORTRANGE(""https://docs.google.com/spreadsheets/d/1QqKyyYR6Q21VydFLVH3TRQUabQu_ym0Zz7PgGX0-kHA/edit?usp=sharing"",""แผน!HH32"")"),43969)</f>
        <v>43969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IFERROR(__xludf.DUMMYFUNCTION("IMPORTRANGE(""https://docs.google.com/spreadsheets/d/1QqKyyYR6Q21VydFLVH3TRQUabQu_ym0Zz7PgGX0-kHA/edit?usp=sharing"",""แผน!HG32"")"),4713)</f>
        <v>4713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1340.38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IFERROR(__xludf.DUMMYFUNCTION("IMPORTRANGE(""https://docs.google.com/spreadsheets/d/1QqKyyYR6Q21VydFLVH3TRQUabQu_ym0Zz7PgGX0-kHA/edit?usp=sharing"",""แผน!HJ32"")"),1340.38)</f>
        <v>1340.38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IFERROR(__xludf.DUMMYFUNCTION("IMPORTRANGE(""https://docs.google.com/spreadsheets/d/1QqKyyYR6Q21VydFLVH3TRQUabQu_ym0Zz7PgGX0-kHA/edit?usp=sharing"",""แผน!HI32"")"),137)</f>
        <v>137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IFERROR(__xludf.DUMMYFUNCTION("IMPORTRANGE(""https://docs.google.com/spreadsheets/d/1QqKyyYR6Q21VydFLVH3TRQUabQu_ym0Zz7PgGX0-kHA/edit?usp=sharing"",""แผน!HL32"")"),4)</f>
        <v>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IFERROR(__xludf.DUMMYFUNCTION("IMPORTRANGE(""https://docs.google.com/spreadsheets/d/1QqKyyYR6Q21VydFLVH3TRQUabQu_ym0Zz7PgGX0-kHA/edit?usp=sharing"",""แผน!HK32"")"),3)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69</v>
      </c>
      <c r="K628" s="740">
        <f ca="1">IF(I628&gt;0,J628*100/I628,0)</f>
        <v>69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223703.87</v>
      </c>
      <c r="O629" s="195">
        <f t="shared" ref="O629:O634" ca="1" si="264">IF(L629&gt;0,N629*100/L629,0)</f>
        <v>58.635668322346433</v>
      </c>
      <c r="P629" s="195">
        <f t="shared" ref="P629:P634" ca="1" si="265">IF(M629&gt;0,N629*100/M629,0)</f>
        <v>58.635668322346433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223703.87</v>
      </c>
      <c r="O631" s="93">
        <f t="shared" ca="1" si="264"/>
        <v>58.635668322346433</v>
      </c>
      <c r="P631" s="93">
        <f t="shared" ca="1" si="265"/>
        <v>58.635668322346433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223703.87</v>
      </c>
      <c r="O632" s="497">
        <f t="shared" ca="1" si="264"/>
        <v>58.635668322346433</v>
      </c>
      <c r="P632" s="497">
        <f t="shared" ca="1" si="265"/>
        <v>58.635668322346433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IFERROR(__xludf.DUMMYFUNCTION("IMPORTRANGE(""https://docs.google.com/spreadsheets/d/1QqKyyYR6Q21VydFLVH3TRQUabQu_ym0Zz7PgGX0-kHA/edit?usp=sharing"",""แผน!HN32"")"),381515)</f>
        <v>381515</v>
      </c>
      <c r="M634" s="93">
        <f ca="1">L634</f>
        <v>381515</v>
      </c>
      <c r="N634" s="93">
        <f>N635+N636+N637+N638</f>
        <v>223703.87</v>
      </c>
      <c r="O634" s="93">
        <f t="shared" ca="1" si="264"/>
        <v>58.635668322346433</v>
      </c>
      <c r="P634" s="93">
        <f t="shared" ca="1" si="265"/>
        <v>58.635668322346433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49858.29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38180+20280+70250+1750+15000+21500+6885.58</f>
        <v>173845.58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IFERROR(__xludf.DUMMYFUNCTION("IMPORTRANGE(""https://docs.google.com/spreadsheets/d/1XWAQStnk-4SwqDmLtmXYiTMKHgktTP8We1SCoS47DrQ/edit?usp=sharing"",""จัดที่ดิน!AS32"")"),115)</f>
        <v>115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IFERROR(__xludf.DUMMYFUNCTION("IMPORTRANGE(""https://docs.google.com/spreadsheets/d/1XWAQStnk-4SwqDmLtmXYiTMKHgktTP8We1SCoS47DrQ/edit?usp=sharing"",""จัดที่ดิน!AT32"")"),66)</f>
        <v>66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IFERROR(__xludf.DUMMYFUNCTION("IMPORTRANGE(""https://docs.google.com/spreadsheets/d/1QqKyyYR6Q21VydFLVH3TRQUabQu_ym0Zz7PgGX0-kHA/edit?usp=sharing"",""แผน!HS32"")"),100)</f>
        <v>100</v>
      </c>
      <c r="J647" s="270">
        <f ca="1">IFERROR(__xludf.DUMMYFUNCTION("IMPORTRANGE(""https://docs.google.com/spreadsheets/d/1XWAQStnk-4SwqDmLtmXYiTMKHgktTP8We1SCoS47DrQ/edit?usp=sharing"",""จัดที่ดิน!AU32"")"),143)</f>
        <v>143</v>
      </c>
      <c r="K647" s="163">
        <f t="shared" ca="1" si="271"/>
        <v>143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IFERROR(__xludf.DUMMYFUNCTION("IMPORTRANGE(""https://docs.google.com/spreadsheets/d/1XWAQStnk-4SwqDmLtmXYiTMKHgktTP8We1SCoS47DrQ/edit?usp=sharing"",""จัดที่ดิน!AV32"")"),85.79)</f>
        <v>85.79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IFERROR(__xludf.DUMMYFUNCTION("IMPORTRANGE(""https://docs.google.com/spreadsheets/d/1QqKyyYR6Q21VydFLVH3TRQUabQu_ym0Zz7PgGX0-kHA/edit?usp=sharing"",""แผน!HS32"")"),100)</f>
        <v>100</v>
      </c>
      <c r="J649" s="270">
        <f ca="1">IFERROR(__xludf.DUMMYFUNCTION("IMPORTRANGE(""https://docs.google.com/spreadsheets/d/1XWAQStnk-4SwqDmLtmXYiTMKHgktTP8We1SCoS47DrQ/edit?usp=sharing"",""จัดที่ดิน!AW32"")"),125)</f>
        <v>125</v>
      </c>
      <c r="K649" s="163">
        <f t="shared" ca="1" si="271"/>
        <v>125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IFERROR(__xludf.DUMMYFUNCTION("IMPORTRANGE(""https://docs.google.com/spreadsheets/d/1XWAQStnk-4SwqDmLtmXYiTMKHgktTP8We1SCoS47DrQ/edit?usp=sharing"",""จัดที่ดิน!AX32"")"),71.7)</f>
        <v>71.7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IFERROR(__xludf.DUMMYFUNCTION("IMPORTRANGE(""https://docs.google.com/spreadsheets/d/1QqKyyYR6Q21VydFLVH3TRQUabQu_ym0Zz7PgGX0-kHA/edit?usp=sharing"",""แผน!HS32"")"),100)</f>
        <v>100</v>
      </c>
      <c r="J651" s="270">
        <f ca="1">IFERROR(__xludf.DUMMYFUNCTION("IMPORTRANGE(""https://docs.google.com/spreadsheets/d/1XWAQStnk-4SwqDmLtmXYiTMKHgktTP8We1SCoS47DrQ/edit?usp=sharing"",""จัดที่ดิน!AY32"")"),69)</f>
        <v>69</v>
      </c>
      <c r="K651" s="163">
        <f t="shared" ca="1" si="271"/>
        <v>69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IFERROR(__xludf.DUMMYFUNCTION("IMPORTRANGE(""https://docs.google.com/spreadsheets/d/1XWAQStnk-4SwqDmLtmXYiTMKHgktTP8We1SCoS47DrQ/edit?usp=sharing"",""จัดที่ดิน!AZ32"")"),38.005)</f>
        <v>38.005000000000003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3690</v>
      </c>
      <c r="O655" s="195">
        <f t="shared" ref="O655:O660" ca="1" si="274">IF(L655&gt;0,N655*100/L655,0)</f>
        <v>23.653846153846153</v>
      </c>
      <c r="P655" s="195">
        <f t="shared" ref="P655:P660" ca="1" si="275">IF(M655&gt;0,N655*100/M655,0)</f>
        <v>23.653846153846153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3690</v>
      </c>
      <c r="O657" s="93">
        <f t="shared" ca="1" si="274"/>
        <v>23.653846153846153</v>
      </c>
      <c r="P657" s="93">
        <f t="shared" ca="1" si="275"/>
        <v>23.653846153846153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3690</v>
      </c>
      <c r="O658" s="497">
        <f t="shared" ca="1" si="274"/>
        <v>23.653846153846153</v>
      </c>
      <c r="P658" s="497">
        <f t="shared" ca="1" si="275"/>
        <v>23.653846153846153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IFERROR(__xludf.DUMMYFUNCTION("IMPORTRANGE(""https://docs.google.com/spreadsheets/d/1QqKyyYR6Q21VydFLVH3TRQUabQu_ym0Zz7PgGX0-kHA/edit?usp=sharing"",""แผน!HV32"")"),15600)</f>
        <v>15600</v>
      </c>
      <c r="M660" s="93">
        <f ca="1">L660</f>
        <v>15600</v>
      </c>
      <c r="N660" s="93">
        <f>N661+N662+N663+N664</f>
        <v>3690</v>
      </c>
      <c r="O660" s="93">
        <f t="shared" ca="1" si="274"/>
        <v>23.653846153846153</v>
      </c>
      <c r="P660" s="93">
        <f t="shared" ca="1" si="275"/>
        <v>23.653846153846153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3100+590</f>
        <v>3690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IFERROR(__xludf.DUMMYFUNCTION("IMPORTRANGE(""https://docs.google.com/spreadsheets/d/1QqKyyYR6Q21VydFLVH3TRQUabQu_ym0Zz7PgGX0-kHA/edit?usp=sharing"",""แผน!IA32"")"),100)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154</v>
      </c>
      <c r="K672" s="497">
        <f t="shared" ref="K672:K675" ca="1" si="281">IF(I$669&gt;0,J672*100/I$669,0)</f>
        <v>154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154</v>
      </c>
      <c r="K673" s="497">
        <f t="shared" ca="1" si="281"/>
        <v>154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IFERROR(__xludf.DUMMYFUNCTION("IMPORTRANGE(""https://docs.google.com/spreadsheets/d/1QqKyyYR6Q21VydFLVH3TRQUabQu_ym0Zz7PgGX0-kHA/edit?usp=sharing"",""แผน!IB32"")"),0)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7440</v>
      </c>
      <c r="M685" s="195">
        <f t="shared" ca="1" si="282"/>
        <v>7440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7440</v>
      </c>
      <c r="M687" s="93">
        <f t="shared" ca="1" si="285"/>
        <v>7440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7440</v>
      </c>
      <c r="M688" s="497">
        <f t="shared" ca="1" si="286"/>
        <v>7440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IFERROR(__xludf.DUMMYFUNCTION("IMPORTRANGE(""https://docs.google.com/spreadsheets/d/1QqKyyYR6Q21VydFLVH3TRQUabQu_ym0Zz7PgGX0-kHA/edit?usp=sharing"",""แผน!HW32"")"),7440)</f>
        <v>7440</v>
      </c>
      <c r="M690" s="93">
        <f ca="1">L690</f>
        <v>7440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IFERROR(__xludf.DUMMYFUNCTION("IMPORTRANGE(""https://docs.google.com/spreadsheets/d/1QqKyyYR6Q21VydFLVH3TRQUabQu_ym0Zz7PgGX0-kHA/edit?usp=sharing"",""แผน!IC32"")"),0)</f>
        <v>0</v>
      </c>
      <c r="J699" s="270">
        <f ca="1">IFERROR(__xludf.DUMMYFUNCTION("IMPORTRANGE(""https://docs.google.com/spreadsheets/d/1XWAQStnk-4SwqDmLtmXYiTMKHgktTP8We1SCoS47DrQ/edit?usp=sharing"",""จัดที่ดิน!BB32"")"),0)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IFERROR(__xludf.DUMMYFUNCTION("IMPORTRANGE(""https://docs.google.com/spreadsheets/d/1QqKyyYR6Q21VydFLVH3TRQUabQu_ym0Zz7PgGX0-kHA/edit?usp=sharing"",""แผน!ID32"")"),50)</f>
        <v>50</v>
      </c>
      <c r="J700" s="270">
        <f ca="1">IFERROR(__xludf.DUMMYFUNCTION("IMPORTRANGE(""https://docs.google.com/spreadsheets/d/1XWAQStnk-4SwqDmLtmXYiTMKHgktTP8We1SCoS47DrQ/edit?usp=sharing"",""จัดที่ดิน!BD32"")"),37)</f>
        <v>37</v>
      </c>
      <c r="K700" s="497">
        <f t="shared" ca="1" si="290"/>
        <v>74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IFERROR(__xludf.DUMMYFUNCTION("IMPORTRANGE(""https://docs.google.com/spreadsheets/d/1QqKyyYR6Q21VydFLVH3TRQUabQu_ym0Zz7PgGX0-kHA/edit?usp=sharing"",""แผน!IE32"")"),4)</f>
        <v>4</v>
      </c>
      <c r="J701" s="679">
        <f>J704+J707</f>
        <v>4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IFERROR(__xludf.DUMMYFUNCTION("IMPORTRANGE(""https://docs.google.com/spreadsheets/d/1QqKyyYR6Q21VydFLVH3TRQUabQu_ym0Zz7PgGX0-kHA/edit?usp=sharing"",""แผน!IF32"")"),4)</f>
        <v>4</v>
      </c>
      <c r="J704" s="215">
        <v>4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IFERROR(__xludf.DUMMYFUNCTION("IMPORTRANGE(""https://docs.google.com/spreadsheets/d/1QqKyyYR6Q21VydFLVH3TRQUabQu_ym0Zz7PgGX0-kHA/edit?usp=sharing"",""แผน!IH32"")"),0)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IFERROR(__xludf.DUMMYFUNCTION("IMPORTRANGE(""https://docs.google.com/spreadsheets/d/1QqKyyYR6Q21VydFLVH3TRQUabQu_ym0Zz7PgGX0-kHA/edit?usp=sharing"",""แผน!II32"")"),0)</f>
        <v>0</v>
      </c>
      <c r="J720" s="270">
        <f ca="1">IFERROR(__xludf.DUMMYFUNCTION("IMPORTRANGE(""https://docs.google.com/spreadsheets/d/1XWAQStnk-4SwqDmLtmXYiTMKHgktTP8We1SCoS47DrQ/edit?usp=sharing"",""จัดที่ดิน!BH32"")"),0)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IFERROR(__xludf.DUMMYFUNCTION("IMPORTRANGE(""https://docs.google.com/spreadsheets/d/1QqKyyYR6Q21VydFLVH3TRQUabQu_ym0Zz7PgGX0-kHA/edit?usp=sharing"",""แผน!IJ32"")"),3)</f>
        <v>3</v>
      </c>
      <c r="J721" s="679">
        <f ca="1">J723+J726</f>
        <v>3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IFERROR(__xludf.DUMMYFUNCTION("IMPORTRANGE(""https://docs.google.com/spreadsheets/d/1QqKyyYR6Q21VydFLVH3TRQUabQu_ym0Zz7PgGX0-kHA/edit?usp=sharing"",""แผน!IK32"")"),2)</f>
        <v>2</v>
      </c>
      <c r="J722" s="679">
        <f ca="1">J725+J728</f>
        <v>44.59</v>
      </c>
      <c r="K722" s="195">
        <f t="shared" ca="1" si="291"/>
        <v>2229.5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IFERROR(__xludf.DUMMYFUNCTION("IMPORTRANGE(""https://docs.google.com/spreadsheets/d/1QqKyyYR6Q21VydFLVH3TRQUabQu_ym0Zz7PgGX0-kHA/edit?usp=sharing"",""แผน!IL32"")"),3)</f>
        <v>3</v>
      </c>
      <c r="J723" s="270">
        <f ca="1">IFERROR(__xludf.DUMMYFUNCTION("IMPORTRANGE(""https://docs.google.com/spreadsheets/d/1XWAQStnk-4SwqDmLtmXYiTMKHgktTP8We1SCoS47DrQ/edit?usp=sharing"",""จัดที่ดิน!BM32"")"),3)</f>
        <v>3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IFERROR(__xludf.DUMMYFUNCTION("IMPORTRANGE(""https://docs.google.com/spreadsheets/d/1XWAQStnk-4SwqDmLtmXYiTMKHgktTP8We1SCoS47DrQ/edit?usp=sharing"",""จัดที่ดิน!BN32"")"),3)</f>
        <v>3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IFERROR(__xludf.DUMMYFUNCTION("IMPORTRANGE(""https://docs.google.com/spreadsheets/d/1QqKyyYR6Q21VydFLVH3TRQUabQu_ym0Zz7PgGX0-kHA/edit?usp=sharing"",""แผน!IM32"")"),2)</f>
        <v>2</v>
      </c>
      <c r="J725" s="270">
        <f ca="1">IFERROR(__xludf.DUMMYFUNCTION("IMPORTRANGE(""https://docs.google.com/spreadsheets/d/1XWAQStnk-4SwqDmLtmXYiTMKHgktTP8We1SCoS47DrQ/edit?usp=sharing"",""จัดที่ดิน!BO32"")"),44.59)</f>
        <v>44.59</v>
      </c>
      <c r="K725" s="497">
        <f t="shared" ref="K725:K726" ca="1" si="292">IF(I725&gt;0,J725*100/I725,0)</f>
        <v>2229.5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IFERROR(__xludf.DUMMYFUNCTION("IMPORTRANGE(""https://docs.google.com/spreadsheets/d/1QqKyyYR6Q21VydFLVH3TRQUabQu_ym0Zz7PgGX0-kHA/edit?usp=sharing"",""แผน!IN32"")"),0)</f>
        <v>0</v>
      </c>
      <c r="J726" s="270">
        <f ca="1">IFERROR(__xludf.DUMMYFUNCTION("IMPORTRANGE(""https://docs.google.com/spreadsheets/d/1XWAQStnk-4SwqDmLtmXYiTMKHgktTP8We1SCoS47DrQ/edit?usp=sharing"",""จัดที่ดิน!BR32"")"),0)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IFERROR(__xludf.DUMMYFUNCTION("IMPORTRANGE(""https://docs.google.com/spreadsheets/d/1QqKyyYR6Q21VydFLVH3TRQUabQu_ym0Zz7PgGX0-kHA/edit?usp=sharing"",""แผน!IO32"")"),0)</f>
        <v>0</v>
      </c>
      <c r="J728" s="270">
        <f ca="1">IFERROR(__xludf.DUMMYFUNCTION("IMPORTRANGE(""https://docs.google.com/spreadsheets/d/1XWAQStnk-4SwqDmLtmXYiTMKHgktTP8We1SCoS47DrQ/edit?usp=sharing"",""จัดที่ดิน!BT32"")"),0)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IFERROR(__xludf.DUMMYFUNCTION("IMPORTRANGE(""https://docs.google.com/spreadsheets/d/1QqKyyYR6Q21VydFLVH3TRQUabQu_ym0Zz7PgGX0-kHA/edit?usp=sharing"",""แผน!JN32"")"),0)</f>
        <v>0</v>
      </c>
      <c r="J800" s="184">
        <f ca="1">IFERROR(__xludf.DUMMYFUNCTION("IMPORTRANGE(""https://docs.google.com/spreadsheets/d/1MaWodYyGHDf7siQLGxnXhG4mBNTNIuy296niS2xXulU/edit?usp=sharing"",""RTK!H32"")"),0)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IFERROR(__xludf.DUMMYFUNCTION("IMPORTRANGE(""https://docs.google.com/spreadsheets/d/1MaWodYyGHDf7siQLGxnXhG4mBNTNIuy296niS2xXulU/edit?usp=sharing"",""RTK!I32"")"),0)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335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270">
        <f ca="1">IFERROR(__xludf.DUMMYFUNCTION("IMPORTRANGE(""https://docs.google.com/spreadsheets/d/19vJNZY_5yjcGF2XGBMNZRCAIB0Kwfpjp8YEOfu-bneM/edit?usp=sharing"",""งานกองทุน!F32"")"),3817386.96)</f>
        <v>3817386.96</v>
      </c>
      <c r="K821" s="497">
        <f t="shared" ref="K821:K828" ca="1" si="335">IF(I821&gt;0,J821*100/I821,0)</f>
        <v>101.36001608362247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IFERROR(__xludf.DUMMYFUNCTION("IMPORTRANGE(""https://docs.google.com/spreadsheets/d/19vJNZY_5yjcGF2XGBMNZRCAIB0Kwfpjp8YEOfu-bneM/edit?usp=sharing"",""งานกองทุน!C32"")"),247)</f>
        <v>247</v>
      </c>
      <c r="J822" s="270">
        <f ca="1">IFERROR(__xludf.DUMMYFUNCTION("IMPORTRANGE(""https://docs.google.com/spreadsheets/d/19vJNZY_5yjcGF2XGBMNZRCAIB0Kwfpjp8YEOfu-bneM/edit?usp=sharing"",""งานกองทุน!E32"")"),215)</f>
        <v>215</v>
      </c>
      <c r="K822" s="497">
        <f t="shared" ca="1" si="335"/>
        <v>87.044534412955471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270">
        <f ca="1">IFERROR(__xludf.DUMMYFUNCTION("IMPORTRANGE(""https://docs.google.com/spreadsheets/d/19vJNZY_5yjcGF2XGBMNZRCAIB0Kwfpjp8YEOfu-bneM/edit?usp=sharing"",""งานกองทุน!K32"")"),1210383.56)</f>
        <v>1210383.56</v>
      </c>
      <c r="K823" s="497">
        <f t="shared" ca="1" si="335"/>
        <v>11.874926279831138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IFERROR(__xludf.DUMMYFUNCTION("IMPORTRANGE(""https://docs.google.com/spreadsheets/d/19vJNZY_5yjcGF2XGBMNZRCAIB0Kwfpjp8YEOfu-bneM/edit?usp=sharing"",""งานกองทุน!H32"")"),488)</f>
        <v>488</v>
      </c>
      <c r="J824" s="270">
        <f ca="1">IFERROR(__xludf.DUMMYFUNCTION("IMPORTRANGE(""https://docs.google.com/spreadsheets/d/19vJNZY_5yjcGF2XGBMNZRCAIB0Kwfpjp8YEOfu-bneM/edit?usp=sharing"",""งานกองทุน!J32"")"),146)</f>
        <v>146</v>
      </c>
      <c r="K824" s="497">
        <f t="shared" ca="1" si="335"/>
        <v>29.918032786885245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270">
        <f ca="1">IFERROR(__xludf.DUMMYFUNCTION("IMPORTRANGE(""https://docs.google.com/spreadsheets/d/19vJNZY_5yjcGF2XGBMNZRCAIB0Kwfpjp8YEOfu-bneM/edit?usp=sharing"",""งานกองทุน!P32"")"),259765.06)</f>
        <v>259765.06</v>
      </c>
      <c r="K825" s="497">
        <f t="shared" ca="1" si="335"/>
        <v>10.27933053831951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IFERROR(__xludf.DUMMYFUNCTION("IMPORTRANGE(""https://docs.google.com/spreadsheets/d/19vJNZY_5yjcGF2XGBMNZRCAIB0Kwfpjp8YEOfu-bneM/edit?usp=sharing"",""งานกองทุน!M32"")"),185)</f>
        <v>185</v>
      </c>
      <c r="J826" s="270">
        <f ca="1">IFERROR(__xludf.DUMMYFUNCTION("IMPORTRANGE(""https://docs.google.com/spreadsheets/d/19vJNZY_5yjcGF2XGBMNZRCAIB0Kwfpjp8YEOfu-bneM/edit?usp=sharing"",""งานกองทุน!O32"")"),83)</f>
        <v>83</v>
      </c>
      <c r="K826" s="497">
        <f t="shared" ca="1" si="335"/>
        <v>44.864864864864863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IFERROR(__xludf.DUMMYFUNCTION("IMPORTRANGE(""https://docs.google.com/spreadsheets/d/19vJNZY_5yjcGF2XGBMNZRCAIB0Kwfpjp8YEOfu-bneM/edit?usp=sharing"",""งานกองทุน!S32"")"),5730000)</f>
        <v>5730000</v>
      </c>
      <c r="J827" s="270">
        <f ca="1">IFERROR(__xludf.DUMMYFUNCTION("IMPORTRANGE(""https://docs.google.com/spreadsheets/d/19vJNZY_5yjcGF2XGBMNZRCAIB0Kwfpjp8YEOfu-bneM/edit?usp=sharing"",""งานกองทุน!U32"")"),5730000)</f>
        <v>5730000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IFERROR(__xludf.DUMMYFUNCTION("IMPORTRANGE(""https://docs.google.com/spreadsheets/d/19vJNZY_5yjcGF2XGBMNZRCAIB0Kwfpjp8YEOfu-bneM/edit?usp=sharing"",""งานกองทุน!R32"")"),229)</f>
        <v>229</v>
      </c>
      <c r="J828" s="504">
        <f ca="1">IFERROR(__xludf.DUMMYFUNCTION("IMPORTRANGE(""https://docs.google.com/spreadsheets/d/19vJNZY_5yjcGF2XGBMNZRCAIB0Kwfpjp8YEOfu-bneM/edit?usp=sharing"",""งานกองทุน!T32"")"),132)</f>
        <v>132</v>
      </c>
      <c r="K828" s="505">
        <f t="shared" ca="1" si="335"/>
        <v>57.64192139737991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8F892-D17D-4484-8F4E-C961B012457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9925392</v>
      </c>
      <c r="M8" s="22">
        <f t="shared" ca="1" si="0"/>
        <v>8975960</v>
      </c>
      <c r="N8" s="22">
        <f t="shared" ca="1" si="0"/>
        <v>6307191.8599999994</v>
      </c>
      <c r="O8" s="22">
        <f t="shared" ref="O8:O16" ca="1" si="1">IF(L8&gt;0,N8*100/L8,0)</f>
        <v>63.54602276665748</v>
      </c>
      <c r="P8" s="22">
        <f t="shared" ref="P8:P16" ca="1" si="2">IF(M8&gt;0,N8*100/M8,0)</f>
        <v>70.267602128351726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9925392</v>
      </c>
      <c r="M10" s="30">
        <f t="shared" ca="1" si="3"/>
        <v>8975960</v>
      </c>
      <c r="N10" s="30">
        <f t="shared" ca="1" si="3"/>
        <v>6307191.8599999994</v>
      </c>
      <c r="O10" s="30">
        <f t="shared" ca="1" si="1"/>
        <v>63.54602276665748</v>
      </c>
      <c r="P10" s="30">
        <f t="shared" ca="1" si="2"/>
        <v>70.267602128351726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9751992</v>
      </c>
      <c r="M11" s="497">
        <f t="shared" ca="1" si="4"/>
        <v>8802560</v>
      </c>
      <c r="N11" s="497">
        <f t="shared" ca="1" si="4"/>
        <v>6133791.8599999994</v>
      </c>
      <c r="O11" s="497">
        <f t="shared" ca="1" si="1"/>
        <v>62.897835232022338</v>
      </c>
      <c r="P11" s="497">
        <f t="shared" ca="1" si="2"/>
        <v>69.68190912643594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9751992</v>
      </c>
      <c r="M13" s="93">
        <f t="shared" ca="1" si="5"/>
        <v>8802560</v>
      </c>
      <c r="N13" s="93">
        <f t="shared" ca="1" si="5"/>
        <v>6133791.8599999994</v>
      </c>
      <c r="O13" s="93">
        <f t="shared" ca="1" si="1"/>
        <v>62.897835232022338</v>
      </c>
      <c r="P13" s="93">
        <f t="shared" ca="1" si="2"/>
        <v>69.68190912643594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5968467</v>
      </c>
      <c r="M18" s="22">
        <f t="shared" ca="1" si="8"/>
        <v>5019035</v>
      </c>
      <c r="N18" s="22">
        <f t="shared" ca="1" si="8"/>
        <v>3970273.8099999996</v>
      </c>
      <c r="O18" s="22">
        <f t="shared" ref="O18:O26" ca="1" si="9">IF(L18&gt;0,N18*100/L18,0)</f>
        <v>66.520830390785434</v>
      </c>
      <c r="P18" s="22">
        <f t="shared" ref="P18:P26" ca="1" si="10">IF(M18&gt;0,N18*100/M18,0)</f>
        <v>79.104326030800735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5968467</v>
      </c>
      <c r="M20" s="30">
        <f t="shared" ca="1" si="11"/>
        <v>5019035</v>
      </c>
      <c r="N20" s="30">
        <f t="shared" ca="1" si="11"/>
        <v>3970273.8099999996</v>
      </c>
      <c r="O20" s="30">
        <f t="shared" ca="1" si="9"/>
        <v>66.520830390785434</v>
      </c>
      <c r="P20" s="30">
        <f t="shared" ca="1" si="10"/>
        <v>79.104326030800735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5795067</v>
      </c>
      <c r="M21" s="497">
        <f t="shared" ca="1" si="12"/>
        <v>4845635</v>
      </c>
      <c r="N21" s="497">
        <f t="shared" ca="1" si="12"/>
        <v>3796873.8099999996</v>
      </c>
      <c r="O21" s="497">
        <f t="shared" ca="1" si="9"/>
        <v>65.51906664754695</v>
      </c>
      <c r="P21" s="497">
        <f t="shared" ca="1" si="10"/>
        <v>78.356578859117519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5795067</v>
      </c>
      <c r="M23" s="93">
        <f t="shared" ca="1" si="13"/>
        <v>4845635</v>
      </c>
      <c r="N23" s="93">
        <f t="shared" ca="1" si="13"/>
        <v>3796873.8099999996</v>
      </c>
      <c r="O23" s="93">
        <f t="shared" ca="1" si="9"/>
        <v>65.51906664754695</v>
      </c>
      <c r="P23" s="93">
        <f t="shared" ca="1" si="10"/>
        <v>78.356578859117519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3956925</v>
      </c>
      <c r="M28" s="22">
        <f t="shared" ca="1" si="16"/>
        <v>3956925</v>
      </c>
      <c r="N28" s="22">
        <f t="shared" si="16"/>
        <v>2336918.0499999998</v>
      </c>
      <c r="O28" s="22">
        <f t="shared" ref="O28:O37" ca="1" si="17">IF(L28&gt;0,N28*100/L28,0)</f>
        <v>59.058942234184364</v>
      </c>
      <c r="P28" s="22">
        <f t="shared" ref="P28:P37" ca="1" si="18">IF(M28&gt;0,N28*100/M28,0)</f>
        <v>59.058942234184364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3956925</v>
      </c>
      <c r="M30" s="30">
        <f t="shared" ca="1" si="19"/>
        <v>3956925</v>
      </c>
      <c r="N30" s="30">
        <f t="shared" si="19"/>
        <v>2336918.0499999998</v>
      </c>
      <c r="O30" s="30">
        <f t="shared" ca="1" si="17"/>
        <v>59.058942234184364</v>
      </c>
      <c r="P30" s="30">
        <f t="shared" ca="1" si="18"/>
        <v>59.058942234184364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3956925</v>
      </c>
      <c r="M31" s="497">
        <f t="shared" ca="1" si="20"/>
        <v>3956925</v>
      </c>
      <c r="N31" s="497">
        <f t="shared" si="20"/>
        <v>2336918.0499999998</v>
      </c>
      <c r="O31" s="497">
        <f t="shared" ca="1" si="17"/>
        <v>59.058942234184364</v>
      </c>
      <c r="P31" s="497">
        <f t="shared" ca="1" si="18"/>
        <v>59.058942234184364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3956925</v>
      </c>
      <c r="M33" s="93">
        <f t="shared" ca="1" si="21"/>
        <v>3956925</v>
      </c>
      <c r="N33" s="93">
        <f t="shared" si="21"/>
        <v>2336918.0499999998</v>
      </c>
      <c r="O33" s="93">
        <f t="shared" ca="1" si="17"/>
        <v>59.058942234184364</v>
      </c>
      <c r="P33" s="93">
        <f t="shared" ca="1" si="18"/>
        <v>59.058942234184364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5968467</v>
      </c>
      <c r="M37" s="870">
        <f t="shared" ca="1" si="24"/>
        <v>5019035</v>
      </c>
      <c r="N37" s="870">
        <f t="shared" ca="1" si="24"/>
        <v>3970273.8099999996</v>
      </c>
      <c r="O37" s="870">
        <f t="shared" ca="1" si="17"/>
        <v>66.520830390785434</v>
      </c>
      <c r="P37" s="870">
        <f t="shared" ca="1" si="18"/>
        <v>79.104326030800735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690742</v>
      </c>
      <c r="M41" s="85">
        <f t="shared" ca="1" si="25"/>
        <v>716643</v>
      </c>
      <c r="N41" s="85">
        <f t="shared" ca="1" si="25"/>
        <v>448706</v>
      </c>
      <c r="O41" s="85">
        <f t="shared" ref="O41:O49" ca="1" si="26">IF(L41&gt;0,N41*100/L41,0)</f>
        <v>64.959999536730066</v>
      </c>
      <c r="P41" s="85">
        <f t="shared" ref="P41:P49" ca="1" si="27">IF(M41&gt;0,N41*100/M41,0)</f>
        <v>62.612207193818961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690742</v>
      </c>
      <c r="M43" s="92">
        <f t="shared" ca="1" si="28"/>
        <v>716643</v>
      </c>
      <c r="N43" s="92">
        <f t="shared" ca="1" si="28"/>
        <v>448706</v>
      </c>
      <c r="O43" s="92">
        <f t="shared" ca="1" si="26"/>
        <v>64.959999536730066</v>
      </c>
      <c r="P43" s="92">
        <f t="shared" ca="1" si="27"/>
        <v>62.612207193818961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690742</v>
      </c>
      <c r="M44" s="497">
        <f t="shared" ca="1" si="29"/>
        <v>716643</v>
      </c>
      <c r="N44" s="497">
        <f t="shared" ca="1" si="29"/>
        <v>448706</v>
      </c>
      <c r="O44" s="497">
        <f t="shared" ca="1" si="26"/>
        <v>64.959999536730066</v>
      </c>
      <c r="P44" s="497">
        <f t="shared" ca="1" si="27"/>
        <v>62.612207193818961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IFERROR(__xludf.DUMMYFUNCTION("IMPORTRANGE(""https://docs.google.com/spreadsheets/d/1MeEWN-I1oV_STSDYn1IFDPWt_1FKiwhDph83XaGc0o0/edit?usp=sharing"",""งบพรบ!M50"")"),690742)</f>
        <v>690742</v>
      </c>
      <c r="M46" s="93">
        <f ca="1">IFERROR(__xludf.DUMMYFUNCTION("IMPORTRANGE(""https://docs.google.com/spreadsheets/d/1MeEWN-I1oV_STSDYn1IFDPWt_1FKiwhDph83XaGc0o0/edit?usp=sharing"",""งบพรบ!R50"")"),716643)</f>
        <v>716643</v>
      </c>
      <c r="N46" s="93">
        <f ca="1">IFERROR(__xludf.DUMMYFUNCTION("IMPORTRANGE(""https://docs.google.com/spreadsheets/d/1MeEWN-I1oV_STSDYn1IFDPWt_1FKiwhDph83XaGc0o0/edit?usp=sharing"",""งบพรบ!T50"")"),448706)</f>
        <v>448706</v>
      </c>
      <c r="O46" s="93">
        <f t="shared" ca="1" si="26"/>
        <v>64.959999536730066</v>
      </c>
      <c r="P46" s="93">
        <f t="shared" ca="1" si="27"/>
        <v>62.612207193818961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IFERROR(__xludf.DUMMYFUNCTION("IMPORTRANGE(""https://docs.google.com/spreadsheets/d/1MeEWN-I1oV_STSDYn1IFDPWt_1FKiwhDph83XaGc0o0/edit?usp=sharing"",""งบพรบ!P50"")"),0)</f>
        <v>0</v>
      </c>
      <c r="M49" s="52">
        <f ca="1">IFERROR(__xludf.DUMMYFUNCTION("IMPORTRANGE(""https://docs.google.com/spreadsheets/d/1MeEWN-I1oV_STSDYn1IFDPWt_1FKiwhDph83XaGc0o0/edit?usp=sharing"",""งบพรบ!S50"")"),0)</f>
        <v>0</v>
      </c>
      <c r="N49" s="52">
        <f ca="1">IFERROR(__xludf.DUMMYFUNCTION("IMPORTRANGE(""https://docs.google.com/spreadsheets/d/1MeEWN-I1oV_STSDYn1IFDPWt_1FKiwhDph83XaGc0o0/edit?usp=sharing"",""งบพรบ!U50"")"),0)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850300</v>
      </c>
      <c r="M53" s="116">
        <f t="shared" ca="1" si="31"/>
        <v>637725</v>
      </c>
      <c r="N53" s="116">
        <f t="shared" ca="1" si="31"/>
        <v>553676.23</v>
      </c>
      <c r="O53" s="116">
        <f t="shared" ref="O53:O61" ca="1" si="32">IF(L53&gt;0,N53*100/L53,0)</f>
        <v>65.115398094790081</v>
      </c>
      <c r="P53" s="116">
        <f t="shared" ref="P53:P61" ca="1" si="33">IF(M53&gt;0,N53*100/M53,0)</f>
        <v>86.820530793053436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850300</v>
      </c>
      <c r="M55" s="123">
        <f t="shared" ca="1" si="34"/>
        <v>637725</v>
      </c>
      <c r="N55" s="123">
        <f t="shared" ca="1" si="34"/>
        <v>553676.23</v>
      </c>
      <c r="O55" s="123">
        <f t="shared" ca="1" si="32"/>
        <v>65.115398094790081</v>
      </c>
      <c r="P55" s="123">
        <f t="shared" ca="1" si="33"/>
        <v>86.820530793053436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850300</v>
      </c>
      <c r="M56" s="497">
        <f t="shared" ca="1" si="35"/>
        <v>637725</v>
      </c>
      <c r="N56" s="497">
        <f t="shared" ca="1" si="35"/>
        <v>553676.23</v>
      </c>
      <c r="O56" s="497">
        <f t="shared" ca="1" si="32"/>
        <v>65.115398094790081</v>
      </c>
      <c r="P56" s="497">
        <f t="shared" ca="1" si="33"/>
        <v>86.820530793053436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IFERROR(__xludf.DUMMYFUNCTION("IMPORTRANGE(""https://docs.google.com/spreadsheets/d/1MeEWN-I1oV_STSDYn1IFDPWt_1FKiwhDph83XaGc0o0/edit?usp=sharing"",""งบพรบ!W50"")"),850300)</f>
        <v>850300</v>
      </c>
      <c r="M58" s="93">
        <f ca="1">IFERROR(__xludf.DUMMYFUNCTION("IMPORTRANGE(""https://docs.google.com/spreadsheets/d/1MeEWN-I1oV_STSDYn1IFDPWt_1FKiwhDph83XaGc0o0/edit?usp=sharing"",""งบพรบ!AB50"")"),637725)</f>
        <v>637725</v>
      </c>
      <c r="N58" s="93">
        <f ca="1">IFERROR(__xludf.DUMMYFUNCTION("IMPORTRANGE(""https://docs.google.com/spreadsheets/d/1MeEWN-I1oV_STSDYn1IFDPWt_1FKiwhDph83XaGc0o0/edit?usp=sharing"",""งบพรบ!AD50"")"),553676.23)</f>
        <v>553676.23</v>
      </c>
      <c r="O58" s="93">
        <f t="shared" ca="1" si="32"/>
        <v>65.115398094790081</v>
      </c>
      <c r="P58" s="93">
        <f t="shared" ca="1" si="33"/>
        <v>86.820530793053436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IFERROR(__xludf.DUMMYFUNCTION("IMPORTRANGE(""https://docs.google.com/spreadsheets/d/1MeEWN-I1oV_STSDYn1IFDPWt_1FKiwhDph83XaGc0o0/edit?usp=sharing"",""งบพรบ!Z50"")"),0)</f>
        <v>0</v>
      </c>
      <c r="M61" s="52">
        <f ca="1">IFERROR(__xludf.DUMMYFUNCTION("IMPORTRANGE(""https://docs.google.com/spreadsheets/d/1MeEWN-I1oV_STSDYn1IFDPWt_1FKiwhDph83XaGc0o0/edit?usp=sharing"",""งบพรบ!AC50"")"),0)</f>
        <v>0</v>
      </c>
      <c r="N61" s="52">
        <f ca="1">IFERROR(__xludf.DUMMYFUNCTION("IMPORTRANGE(""https://docs.google.com/spreadsheets/d/1MeEWN-I1oV_STSDYn1IFDPWt_1FKiwhDph83XaGc0o0/edit?usp=sharing"",""งบพรบ!AE50"")"),0)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1079500</v>
      </c>
      <c r="M66" s="155">
        <f t="shared" ca="1" si="39"/>
        <v>856180</v>
      </c>
      <c r="N66" s="155">
        <f t="shared" ca="1" si="39"/>
        <v>716660.44</v>
      </c>
      <c r="O66" s="155">
        <f t="shared" ref="O66:O74" ca="1" si="40">IF(L66&gt;0,N66*100/L66,0)</f>
        <v>66.388183418249184</v>
      </c>
      <c r="P66" s="155">
        <f t="shared" ref="P66:P74" ca="1" si="41">IF(M66&gt;0,N66*100/M66,0)</f>
        <v>83.704412623513747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1079500</v>
      </c>
      <c r="M68" s="93">
        <f t="shared" ca="1" si="42"/>
        <v>856180</v>
      </c>
      <c r="N68" s="93">
        <f t="shared" ca="1" si="42"/>
        <v>716660.44</v>
      </c>
      <c r="O68" s="93">
        <f t="shared" ca="1" si="40"/>
        <v>66.388183418249184</v>
      </c>
      <c r="P68" s="93">
        <f t="shared" ca="1" si="41"/>
        <v>83.704412623513747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1079500</v>
      </c>
      <c r="M69" s="497">
        <f t="shared" ca="1" si="43"/>
        <v>856180</v>
      </c>
      <c r="N69" s="497">
        <f t="shared" ca="1" si="43"/>
        <v>716660.44</v>
      </c>
      <c r="O69" s="497">
        <f t="shared" ca="1" si="40"/>
        <v>66.388183418249184</v>
      </c>
      <c r="P69" s="497">
        <f t="shared" ca="1" si="41"/>
        <v>83.704412623513747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IFERROR(__xludf.DUMMYFUNCTION("IMPORTRANGE(""https://docs.google.com/spreadsheets/d/1MeEWN-I1oV_STSDYn1IFDPWt_1FKiwhDph83XaGc0o0/edit?usp=sharing"",""งบพรบ!AG50"")"),1079500)</f>
        <v>1079500</v>
      </c>
      <c r="M71" s="93">
        <f ca="1">IFERROR(__xludf.DUMMYFUNCTION("IMPORTRANGE(""https://docs.google.com/spreadsheets/d/1MeEWN-I1oV_STSDYn1IFDPWt_1FKiwhDph83XaGc0o0/edit?usp=sharing"",""งบพรบ!AL50"")"),856180)</f>
        <v>856180</v>
      </c>
      <c r="N71" s="93">
        <f ca="1">IFERROR(__xludf.DUMMYFUNCTION("IMPORTRANGE(""https://docs.google.com/spreadsheets/d/1MeEWN-I1oV_STSDYn1IFDPWt_1FKiwhDph83XaGc0o0/edit?usp=sharing"",""งบพรบ!AN50"")"),716660.44)</f>
        <v>716660.44</v>
      </c>
      <c r="O71" s="93">
        <f t="shared" ca="1" si="40"/>
        <v>66.388183418249184</v>
      </c>
      <c r="P71" s="93">
        <f t="shared" ca="1" si="41"/>
        <v>83.704412623513747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IFERROR(__xludf.DUMMYFUNCTION("IMPORTRANGE(""https://docs.google.com/spreadsheets/d/1MeEWN-I1oV_STSDYn1IFDPWt_1FKiwhDph83XaGc0o0/edit?usp=sharing"",""งบพรบ!AJ50"")"),0)</f>
        <v>0</v>
      </c>
      <c r="M74" s="93">
        <f ca="1">IFERROR(__xludf.DUMMYFUNCTION("IMPORTRANGE(""https://docs.google.com/spreadsheets/d/1MeEWN-I1oV_STSDYn1IFDPWt_1FKiwhDph83XaGc0o0/edit?usp=sharing"",""งบพรบ!AM50"")"),0)</f>
        <v>0</v>
      </c>
      <c r="N74" s="93">
        <f ca="1">IFERROR(__xludf.DUMMYFUNCTION("IMPORTRANGE(""https://docs.google.com/spreadsheets/d/1MeEWN-I1oV_STSDYn1IFDPWt_1FKiwhDph83XaGc0o0/edit?usp=sharing"",""งบพรบ!AO50"")"),0)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IFERROR(__xludf.DUMMYFUNCTION("IMPORTRANGE(""https://docs.google.com/spreadsheets/d/1QqKyyYR6Q21VydFLVH3TRQUabQu_ym0Zz7PgGX0-kHA/edit?usp=sharing"",""แผน!G50"")"),70)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78196</v>
      </c>
      <c r="O88" s="155">
        <f t="shared" ref="O88:O96" ca="1" si="50">IF(L88&gt;0,N88*100/L88,0)</f>
        <v>91.095060577819197</v>
      </c>
      <c r="P88" s="155">
        <f t="shared" ref="P88:P96" ca="1" si="51">IF(M88&gt;0,N88*100/M88,0)</f>
        <v>98.807177154409914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78196</v>
      </c>
      <c r="O90" s="93">
        <f t="shared" ca="1" si="50"/>
        <v>91.095060577819197</v>
      </c>
      <c r="P90" s="93">
        <f t="shared" ca="1" si="51"/>
        <v>98.807177154409914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79140</v>
      </c>
      <c r="N91" s="497">
        <f t="shared" ca="1" si="53"/>
        <v>78196</v>
      </c>
      <c r="O91" s="497">
        <f t="shared" ca="1" si="50"/>
        <v>91.095060577819197</v>
      </c>
      <c r="P91" s="497">
        <f t="shared" ca="1" si="51"/>
        <v>98.807177154409914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IFERROR(__xludf.DUMMYFUNCTION("IMPORTRANGE(""https://docs.google.com/spreadsheets/d/1MeEWN-I1oV_STSDYn1IFDPWt_1FKiwhDph83XaGc0o0/edit?usp=sharing"",""งบพรบ!AQ50"")"),85840)</f>
        <v>85840</v>
      </c>
      <c r="M93" s="93">
        <f ca="1">IFERROR(__xludf.DUMMYFUNCTION("IMPORTRANGE(""https://docs.google.com/spreadsheets/d/1MeEWN-I1oV_STSDYn1IFDPWt_1FKiwhDph83XaGc0o0/edit?usp=sharing"",""งบพรบ!AV50"")"),79140)</f>
        <v>79140</v>
      </c>
      <c r="N93" s="93">
        <f ca="1">IFERROR(__xludf.DUMMYFUNCTION("IMPORTRANGE(""https://docs.google.com/spreadsheets/d/1MeEWN-I1oV_STSDYn1IFDPWt_1FKiwhDph83XaGc0o0/edit?usp=sharing"",""งบพรบ!AX50"")"),78196)</f>
        <v>78196</v>
      </c>
      <c r="O93" s="93">
        <f t="shared" ca="1" si="50"/>
        <v>91.095060577819197</v>
      </c>
      <c r="P93" s="93">
        <f t="shared" ca="1" si="51"/>
        <v>98.807177154409914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IFERROR(__xludf.DUMMYFUNCTION("IMPORTRANGE(""https://docs.google.com/spreadsheets/d/1MeEWN-I1oV_STSDYn1IFDPWt_1FKiwhDph83XaGc0o0/edit?usp=sharing"",""งบพรบ!AT50"")"),0)</f>
        <v>0</v>
      </c>
      <c r="M96" s="93">
        <f ca="1">IFERROR(__xludf.DUMMYFUNCTION("IMPORTRANGE(""https://docs.google.com/spreadsheets/d/1MeEWN-I1oV_STSDYn1IFDPWt_1FKiwhDph83XaGc0o0/edit?usp=sharing"",""งบพรบ!AW50"")"),0)</f>
        <v>0</v>
      </c>
      <c r="N96" s="93">
        <f ca="1">IFERROR(__xludf.DUMMYFUNCTION("IMPORTRANGE(""https://docs.google.com/spreadsheets/d/1MeEWN-I1oV_STSDYn1IFDPWt_1FKiwhDph83XaGc0o0/edit?usp=sharing"",""งบพรบ!AY50"")"),0)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IFERROR(__xludf.DUMMYFUNCTION("IMPORTRANGE(""https://docs.google.com/spreadsheets/d/1MeEWN-I1oV_STSDYn1IFDPWt_1FKiwhDph83XaGc0o0/edit?usp=sharing"",""งบพรบ!BA50"")"),0)</f>
        <v>0</v>
      </c>
      <c r="M124" s="93">
        <f ca="1">IFERROR(__xludf.DUMMYFUNCTION("IMPORTRANGE(""https://docs.google.com/spreadsheets/d/1MeEWN-I1oV_STSDYn1IFDPWt_1FKiwhDph83XaGc0o0/edit?usp=sharing"",""งบพรบ!BF50"")"),0)</f>
        <v>0</v>
      </c>
      <c r="N124" s="93">
        <f ca="1">IFERROR(__xludf.DUMMYFUNCTION("IMPORTRANGE(""https://docs.google.com/spreadsheets/d/1MeEWN-I1oV_STSDYn1IFDPWt_1FKiwhDph83XaGc0o0/edit?usp=sharing"",""งบพรบ!BH50"")"),0)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IFERROR(__xludf.DUMMYFUNCTION("IMPORTRANGE(""https://docs.google.com/spreadsheets/d/1MeEWN-I1oV_STSDYn1IFDPWt_1FKiwhDph83XaGc0o0/edit?usp=sharing"",""งบพรบ!BD50"")"),0)</f>
        <v>0</v>
      </c>
      <c r="M127" s="93">
        <f ca="1">IFERROR(__xludf.DUMMYFUNCTION("IMPORTRANGE(""https://docs.google.com/spreadsheets/d/1MeEWN-I1oV_STSDYn1IFDPWt_1FKiwhDph83XaGc0o0/edit?usp=sharing"",""งบพรบ!BG50"")"),0)</f>
        <v>0</v>
      </c>
      <c r="N127" s="93">
        <f ca="1">IFERROR(__xludf.DUMMYFUNCTION("IMPORTRANGE(""https://docs.google.com/spreadsheets/d/1MeEWN-I1oV_STSDYn1IFDPWt_1FKiwhDph83XaGc0o0/edit?usp=sharing"",""งบพรบ!BI50"")"),0)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IFERROR(__xludf.DUMMYFUNCTION("IMPORTRANGE(""https://docs.google.com/spreadsheets/d/1MeEWN-I1oV_STSDYn1IFDPWt_1FKiwhDph83XaGc0o0/edit?usp=sharing"",""งบพรบ!BK50"")"),0)</f>
        <v>0</v>
      </c>
      <c r="M137" s="93">
        <f ca="1">IFERROR(__xludf.DUMMYFUNCTION("IMPORTRANGE(""https://docs.google.com/spreadsheets/d/1MeEWN-I1oV_STSDYn1IFDPWt_1FKiwhDph83XaGc0o0/edit?usp=sharing"",""งบพรบ!BP50"")"),0)</f>
        <v>0</v>
      </c>
      <c r="N137" s="93">
        <f ca="1">IFERROR(__xludf.DUMMYFUNCTION("IMPORTRANGE(""https://docs.google.com/spreadsheets/d/1MeEWN-I1oV_STSDYn1IFDPWt_1FKiwhDph83XaGc0o0/edit?usp=sharing"",""งบพรบ!BR50"")"),0)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IFERROR(__xludf.DUMMYFUNCTION("IMPORTRANGE(""https://docs.google.com/spreadsheets/d/1MeEWN-I1oV_STSDYn1IFDPWt_1FKiwhDph83XaGc0o0/edit?usp=sharing"",""งบพรบ!BN50"")"),0)</f>
        <v>0</v>
      </c>
      <c r="M140" s="93">
        <f ca="1">IFERROR(__xludf.DUMMYFUNCTION("IMPORTRANGE(""https://docs.google.com/spreadsheets/d/1MeEWN-I1oV_STSDYn1IFDPWt_1FKiwhDph83XaGc0o0/edit?usp=sharing"",""งบพรบ!BQ50"")"),0)</f>
        <v>0</v>
      </c>
      <c r="N140" s="93">
        <f ca="1">IFERROR(__xludf.DUMMYFUNCTION("IMPORTRANGE(""https://docs.google.com/spreadsheets/d/1MeEWN-I1oV_STSDYn1IFDPWt_1FKiwhDph83XaGc0o0/edit?usp=sharing"",""งบพรบ!BS50"")"),0)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23460</v>
      </c>
      <c r="N149" s="155">
        <f t="shared" ca="1" si="77"/>
        <v>15770</v>
      </c>
      <c r="O149" s="155">
        <f t="shared" ref="O149:O157" ca="1" si="78">IF(L149&gt;0,N149*100/L149,0)</f>
        <v>157.69999999999999</v>
      </c>
      <c r="P149" s="155">
        <f t="shared" ref="P149:P157" ca="1" si="79">IF(M149&gt;0,N149*100/M149,0)</f>
        <v>67.22080136402387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23460</v>
      </c>
      <c r="N151" s="93">
        <f t="shared" ca="1" si="80"/>
        <v>15770</v>
      </c>
      <c r="O151" s="93">
        <f t="shared" ca="1" si="78"/>
        <v>157.69999999999999</v>
      </c>
      <c r="P151" s="93">
        <f t="shared" ca="1" si="79"/>
        <v>67.22080136402387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23460</v>
      </c>
      <c r="N152" s="497">
        <f t="shared" ca="1" si="81"/>
        <v>15770</v>
      </c>
      <c r="O152" s="497">
        <f t="shared" ca="1" si="78"/>
        <v>157.69999999999999</v>
      </c>
      <c r="P152" s="497">
        <f t="shared" ca="1" si="79"/>
        <v>67.22080136402387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IFERROR(__xludf.DUMMYFUNCTION("IMPORTRANGE(""https://docs.google.com/spreadsheets/d/1MeEWN-I1oV_STSDYn1IFDPWt_1FKiwhDph83XaGc0o0/edit?usp=sharing"",""งบพรบ!BU50"")"),10000)</f>
        <v>10000</v>
      </c>
      <c r="M154" s="93">
        <f ca="1">IFERROR(__xludf.DUMMYFUNCTION("IMPORTRANGE(""https://docs.google.com/spreadsheets/d/1MeEWN-I1oV_STSDYn1IFDPWt_1FKiwhDph83XaGc0o0/edit?usp=sharing"",""งบพรบ!BZ50"")"),23460)</f>
        <v>23460</v>
      </c>
      <c r="N154" s="93">
        <f ca="1">IFERROR(__xludf.DUMMYFUNCTION("IMPORTRANGE(""https://docs.google.com/spreadsheets/d/1MeEWN-I1oV_STSDYn1IFDPWt_1FKiwhDph83XaGc0o0/edit?usp=sharing"",""งบพรบ!CB50"")"),15770)</f>
        <v>15770</v>
      </c>
      <c r="O154" s="93">
        <f t="shared" ca="1" si="78"/>
        <v>157.69999999999999</v>
      </c>
      <c r="P154" s="93">
        <f t="shared" ca="1" si="79"/>
        <v>67.22080136402387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IFERROR(__xludf.DUMMYFUNCTION("IMPORTRANGE(""https://docs.google.com/spreadsheets/d/1MeEWN-I1oV_STSDYn1IFDPWt_1FKiwhDph83XaGc0o0/edit?usp=sharing"",""งบพรบ!BX50"")"),0)</f>
        <v>0</v>
      </c>
      <c r="M157" s="93">
        <f ca="1">IFERROR(__xludf.DUMMYFUNCTION("IMPORTRANGE(""https://docs.google.com/spreadsheets/d/1MeEWN-I1oV_STSDYn1IFDPWt_1FKiwhDph83XaGc0o0/edit?usp=sharing"",""งบพรบ!CA50"")"),0)</f>
        <v>0</v>
      </c>
      <c r="N157" s="93">
        <f ca="1">IFERROR(__xludf.DUMMYFUNCTION("IMPORTRANGE(""https://docs.google.com/spreadsheets/d/1MeEWN-I1oV_STSDYn1IFDPWt_1FKiwhDph83XaGc0o0/edit?usp=sharing"",""งบพรบ!CC50"")"),0)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IFERROR(__xludf.DUMMYFUNCTION("IMPORTRANGE(""https://docs.google.com/spreadsheets/d/1QqKyyYR6Q21VydFLVH3TRQUabQu_ym0Zz7PgGX0-kHA/edit?usp=sharing"",""แผน!X50"")"),20)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IFERROR(__xludf.DUMMYFUNCTION("IMPORTRANGE(""https://docs.google.com/spreadsheets/d/1MeEWN-I1oV_STSDYn1IFDPWt_1FKiwhDph83XaGc0o0/edit?usp=sharing"",""งบพรบ!CE50"")"),22055)</f>
        <v>22055</v>
      </c>
      <c r="M170" s="93">
        <f ca="1">IFERROR(__xludf.DUMMYFUNCTION("IMPORTRANGE(""https://docs.google.com/spreadsheets/d/1MeEWN-I1oV_STSDYn1IFDPWt_1FKiwhDph83XaGc0o0/edit?usp=sharing"",""งบพรบ!CJ50"")"),22055)</f>
        <v>22055</v>
      </c>
      <c r="N170" s="93">
        <f ca="1">IFERROR(__xludf.DUMMYFUNCTION("IMPORTRANGE(""https://docs.google.com/spreadsheets/d/1MeEWN-I1oV_STSDYn1IFDPWt_1FKiwhDph83XaGc0o0/edit?usp=sharing"",""งบพรบ!CL50"")"),22055)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IFERROR(__xludf.DUMMYFUNCTION("IMPORTRANGE(""https://docs.google.com/spreadsheets/d/1MeEWN-I1oV_STSDYn1IFDPWt_1FKiwhDph83XaGc0o0/edit?usp=sharing"",""งบพรบ!CH50"")"),0)</f>
        <v>0</v>
      </c>
      <c r="M173" s="93">
        <f ca="1">IFERROR(__xludf.DUMMYFUNCTION("IMPORTRANGE(""https://docs.google.com/spreadsheets/d/1MeEWN-I1oV_STSDYn1IFDPWt_1FKiwhDph83XaGc0o0/edit?usp=sharing"",""งบพรบ!CK50"")"),0)</f>
        <v>0</v>
      </c>
      <c r="N173" s="93">
        <f ca="1">IFERROR(__xludf.DUMMYFUNCTION("IMPORTRANGE(""https://docs.google.com/spreadsheets/d/1MeEWN-I1oV_STSDYn1IFDPWt_1FKiwhDph83XaGc0o0/edit?usp=sharing"",""งบพรบ!CM50"")"),0)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93500</v>
      </c>
      <c r="M181" s="155">
        <f t="shared" ca="1" si="92"/>
        <v>88500</v>
      </c>
      <c r="N181" s="155">
        <f t="shared" ca="1" si="92"/>
        <v>88405</v>
      </c>
      <c r="O181" s="155">
        <f t="shared" ref="O181:O189" ca="1" si="93">IF(L181&gt;0,N181*100/L181,0)</f>
        <v>94.55080213903743</v>
      </c>
      <c r="P181" s="155">
        <f t="shared" ref="P181:P189" ca="1" si="94">IF(M181&gt;0,N181*100/M181,0)</f>
        <v>99.89265536723164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93500</v>
      </c>
      <c r="M183" s="93">
        <f t="shared" ca="1" si="95"/>
        <v>88500</v>
      </c>
      <c r="N183" s="93">
        <f t="shared" ca="1" si="95"/>
        <v>88405</v>
      </c>
      <c r="O183" s="93">
        <f t="shared" ca="1" si="93"/>
        <v>94.55080213903743</v>
      </c>
      <c r="P183" s="93">
        <f t="shared" ca="1" si="94"/>
        <v>99.89265536723164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93500</v>
      </c>
      <c r="M184" s="497">
        <f t="shared" ca="1" si="96"/>
        <v>88500</v>
      </c>
      <c r="N184" s="497">
        <f t="shared" ca="1" si="96"/>
        <v>88405</v>
      </c>
      <c r="O184" s="497">
        <f t="shared" ca="1" si="93"/>
        <v>94.55080213903743</v>
      </c>
      <c r="P184" s="497">
        <f t="shared" ca="1" si="94"/>
        <v>99.89265536723164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IFERROR(__xludf.DUMMYFUNCTION("IMPORTRANGE(""https://docs.google.com/spreadsheets/d/1MeEWN-I1oV_STSDYn1IFDPWt_1FKiwhDph83XaGc0o0/edit?usp=sharing"",""งบพรบ!CO50"")"),93500)</f>
        <v>93500</v>
      </c>
      <c r="M186" s="93">
        <f ca="1">IFERROR(__xludf.DUMMYFUNCTION("IMPORTRANGE(""https://docs.google.com/spreadsheets/d/1MeEWN-I1oV_STSDYn1IFDPWt_1FKiwhDph83XaGc0o0/edit?usp=sharing"",""งบพรบ!CT50"")"),88500)</f>
        <v>88500</v>
      </c>
      <c r="N186" s="93">
        <f ca="1">IFERROR(__xludf.DUMMYFUNCTION("IMPORTRANGE(""https://docs.google.com/spreadsheets/d/1MeEWN-I1oV_STSDYn1IFDPWt_1FKiwhDph83XaGc0o0/edit?usp=sharing"",""งบพรบ!CV50"")"),88405)</f>
        <v>88405</v>
      </c>
      <c r="O186" s="93">
        <f t="shared" ca="1" si="93"/>
        <v>94.55080213903743</v>
      </c>
      <c r="P186" s="93">
        <f t="shared" ca="1" si="94"/>
        <v>99.89265536723164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IFERROR(__xludf.DUMMYFUNCTION("IMPORTRANGE(""https://docs.google.com/spreadsheets/d/1MeEWN-I1oV_STSDYn1IFDPWt_1FKiwhDph83XaGc0o0/edit?usp=sharing"",""งบพรบ!CR50"")"),0)</f>
        <v>0</v>
      </c>
      <c r="M189" s="93">
        <f ca="1">IFERROR(__xludf.DUMMYFUNCTION("IMPORTRANGE(""https://docs.google.com/spreadsheets/d/1MeEWN-I1oV_STSDYn1IFDPWt_1FKiwhDph83XaGc0o0/edit?usp=sharing"",""งบพรบ!CU50"")"),0)</f>
        <v>0</v>
      </c>
      <c r="N189" s="93">
        <f ca="1">IFERROR(__xludf.DUMMYFUNCTION("IMPORTRANGE(""https://docs.google.com/spreadsheets/d/1MeEWN-I1oV_STSDYn1IFDPWt_1FKiwhDph83XaGc0o0/edit?usp=sharing"",""งบพรบ!CW50"")"),0)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186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154+17</f>
        <v>171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15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IFERROR(__xludf.DUMMYFUNCTION("IMPORTRANGE(""https://docs.google.com/spreadsheets/d/1QqKyyYR6Q21VydFLVH3TRQUabQu_ym0Zz7PgGX0-kHA/edit?usp=sharing"",""แผน!AK50"")"),3000)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IFERROR(__xludf.DUMMYFUNCTION("IMPORTRANGE(""https://docs.google.com/spreadsheets/d/1QqKyyYR6Q21VydFLVH3TRQUabQu_ym0Zz7PgGX0-kHA/edit?usp=sharing"",""แผน!AL50"")"),15000)</f>
        <v>15000</v>
      </c>
      <c r="M211" s="497"/>
      <c r="N211" s="838">
        <v>15000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IFERROR(__xludf.DUMMYFUNCTION("IMPORTRANGE(""https://docs.google.com/spreadsheets/d/1QqKyyYR6Q21VydFLVH3TRQUabQu_ym0Zz7PgGX0-kHA/edit?usp=sharing"",""แผน!AM50"")"),24000)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IFERROR(__xludf.DUMMYFUNCTION("IMPORTRANGE(""https://docs.google.com/spreadsheets/d/1QqKyyYR6Q21VydFLVH3TRQUabQu_ym0Zz7PgGX0-kHA/edit?usp=sharing"",""แผน!AN50"")"),3)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IFERROR(__xludf.DUMMYFUNCTION("IMPORTRANGE(""https://docs.google.com/spreadsheets/d/1QqKyyYR6Q21VydFLVH3TRQUabQu_ym0Zz7PgGX0-kHA/edit?usp=sharing"",""แผน!AN50"")"),3)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IFERROR(__xludf.DUMMYFUNCTION("IMPORTRANGE(""https://docs.google.com/spreadsheets/d/1QqKyyYR6Q21VydFLVH3TRQUabQu_ym0Zz7PgGX0-kHA/edit?usp=sharing"",""แผน!AP50"")"),3000)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IFERROR(__xludf.DUMMYFUNCTION("IMPORTRANGE(""https://docs.google.com/spreadsheets/d/1QqKyyYR6Q21VydFLVH3TRQUabQu_ym0Zz7PgGX0-kHA/edit?usp=sharing"",""แผน!AQ50"")"),3500)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IFERROR(__xludf.DUMMYFUNCTION("IMPORTRANGE(""https://docs.google.com/spreadsheets/d/1QqKyyYR6Q21VydFLVH3TRQUabQu_ym0Zz7PgGX0-kHA/edit?usp=sharing"",""แผน!AR50"")"),0)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IFERROR(__xludf.DUMMYFUNCTION("IMPORTRANGE(""https://docs.google.com/spreadsheets/d/1QqKyyYR6Q21VydFLVH3TRQUabQu_ym0Zz7PgGX0-kHA/edit?usp=sharing"",""แผน!AT50"")"),10000)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IFERROR(__xludf.DUMMYFUNCTION("IMPORTRANGE(""https://docs.google.com/spreadsheets/d/1QqKyyYR6Q21VydFLVH3TRQUabQu_ym0Zz7PgGX0-kHA/edit?usp=sharing"",""แผน!AT50"")"),10000)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IFERROR(__xludf.DUMMYFUNCTION("IMPORTRANGE(""https://docs.google.com/spreadsheets/d/1QqKyyYR6Q21VydFLVH3TRQUabQu_ym0Zz7PgGX0-kHA/edit?usp=sharing"",""แผน!AS50"")"),0)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IFERROR(__xludf.DUMMYFUNCTION("IMPORTRANGE(""https://docs.google.com/spreadsheets/d/1QqKyyYR6Q21VydFLVH3TRQUabQu_ym0Zz7PgGX0-kHA/edit?usp=sharing"",""แผน!AZ50"")"),0)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IFERROR(__xludf.DUMMYFUNCTION("IMPORTRANGE(""https://docs.google.com/spreadsheets/d/1QqKyyYR6Q21VydFLVH3TRQUabQu_ym0Zz7PgGX0-kHA/edit?usp=sharing"",""แผน!BA50"")"),0)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IFERROR(__xludf.DUMMYFUNCTION("IMPORTRANGE(""https://docs.google.com/spreadsheets/d/1QqKyyYR6Q21VydFLVH3TRQUabQu_ym0Zz7PgGX0-kHA/edit?usp=sharing"",""แผน!BB50"")"),0)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IFERROR(__xludf.DUMMYFUNCTION("IMPORTRANGE(""https://docs.google.com/spreadsheets/d/1QqKyyYR6Q21VydFLVH3TRQUabQu_ym0Zz7PgGX0-kHA/edit?usp=sharing"",""แผน!BC50"")"),0)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IFERROR(__xludf.DUMMYFUNCTION("IMPORTRANGE(""https://docs.google.com/spreadsheets/d/1QqKyyYR6Q21VydFLVH3TRQUabQu_ym0Zz7PgGX0-kHA/edit?usp=sharing"",""แผน!BF50"")"),0)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22000</v>
      </c>
      <c r="O264" s="497">
        <f t="shared" ca="1" si="117"/>
        <v>88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IFERROR(__xludf.DUMMYFUNCTION("IMPORTRANGE(""https://docs.google.com/spreadsheets/d/1MeEWN-I1oV_STSDYn1IFDPWt_1FKiwhDph83XaGc0o0/edit?usp=sharing"",""งบพรบ!CY50"")"),25000)</f>
        <v>25000</v>
      </c>
      <c r="M266" s="93">
        <f ca="1">IFERROR(__xludf.DUMMYFUNCTION("IMPORTRANGE(""https://docs.google.com/spreadsheets/d/1MeEWN-I1oV_STSDYn1IFDPWt_1FKiwhDph83XaGc0o0/edit?usp=sharing"",""งบพรบ!DD50"")"),22000)</f>
        <v>22000</v>
      </c>
      <c r="N266" s="93">
        <f ca="1">IFERROR(__xludf.DUMMYFUNCTION("IMPORTRANGE(""https://docs.google.com/spreadsheets/d/1MeEWN-I1oV_STSDYn1IFDPWt_1FKiwhDph83XaGc0o0/edit?usp=sharing"",""งบพรบ!DF50"")"),22000)</f>
        <v>22000</v>
      </c>
      <c r="O266" s="93">
        <f t="shared" ca="1" si="117"/>
        <v>88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IFERROR(__xludf.DUMMYFUNCTION("IMPORTRANGE(""https://docs.google.com/spreadsheets/d/1MeEWN-I1oV_STSDYn1IFDPWt_1FKiwhDph83XaGc0o0/edit?usp=sharing"",""งบพรบ!DB50"")"),0)</f>
        <v>0</v>
      </c>
      <c r="M269" s="93">
        <f ca="1">IFERROR(__xludf.DUMMYFUNCTION("IMPORTRANGE(""https://docs.google.com/spreadsheets/d/1MeEWN-I1oV_STSDYn1IFDPWt_1FKiwhDph83XaGc0o0/edit?usp=sharing"",""งบพรบ!DE50"")"),0)</f>
        <v>0</v>
      </c>
      <c r="N269" s="93">
        <f ca="1">IFERROR(__xludf.DUMMYFUNCTION("IMPORTRANGE(""https://docs.google.com/spreadsheets/d/1MeEWN-I1oV_STSDYn1IFDPWt_1FKiwhDph83XaGc0o0/edit?usp=sharing"",""งบพรบ!DG50"")"),0)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50</v>
      </c>
      <c r="J275" s="406">
        <f t="shared" ca="1" si="122"/>
        <v>50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500</v>
      </c>
      <c r="J276" s="882">
        <f t="shared" si="124"/>
        <v>500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181410</v>
      </c>
      <c r="M277" s="155">
        <f t="shared" ca="1" si="125"/>
        <v>181410</v>
      </c>
      <c r="N277" s="155">
        <f t="shared" ca="1" si="125"/>
        <v>165542</v>
      </c>
      <c r="O277" s="155">
        <f t="shared" ref="O277:O285" ca="1" si="126">IF(L277&gt;0,N277*100/L277,0)</f>
        <v>91.252962901714355</v>
      </c>
      <c r="P277" s="155">
        <f t="shared" ref="P277:P285" ca="1" si="127">IF(M277&gt;0,N277*100/M277,0)</f>
        <v>91.252962901714355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181410</v>
      </c>
      <c r="M279" s="93">
        <f t="shared" ca="1" si="128"/>
        <v>181410</v>
      </c>
      <c r="N279" s="93">
        <f t="shared" ca="1" si="128"/>
        <v>165542</v>
      </c>
      <c r="O279" s="93">
        <f t="shared" ca="1" si="126"/>
        <v>91.252962901714355</v>
      </c>
      <c r="P279" s="93">
        <f t="shared" ca="1" si="127"/>
        <v>91.252962901714355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181410</v>
      </c>
      <c r="M280" s="497">
        <f t="shared" ca="1" si="129"/>
        <v>181410</v>
      </c>
      <c r="N280" s="497">
        <f t="shared" ca="1" si="129"/>
        <v>165542</v>
      </c>
      <c r="O280" s="497">
        <f t="shared" ca="1" si="126"/>
        <v>91.252962901714355</v>
      </c>
      <c r="P280" s="497">
        <f t="shared" ca="1" si="127"/>
        <v>91.252962901714355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IFERROR(__xludf.DUMMYFUNCTION("IMPORTRANGE(""https://docs.google.com/spreadsheets/d/1MeEWN-I1oV_STSDYn1IFDPWt_1FKiwhDph83XaGc0o0/edit?usp=sharing"",""งบพรบ!DI50"")"),181410)</f>
        <v>181410</v>
      </c>
      <c r="M282" s="93">
        <f ca="1">IFERROR(__xludf.DUMMYFUNCTION("IMPORTRANGE(""https://docs.google.com/spreadsheets/d/1MeEWN-I1oV_STSDYn1IFDPWt_1FKiwhDph83XaGc0o0/edit?usp=sharing"",""งบพรบ!DN50"")"),181410)</f>
        <v>181410</v>
      </c>
      <c r="N282" s="93">
        <f ca="1">IFERROR(__xludf.DUMMYFUNCTION("IMPORTRANGE(""https://docs.google.com/spreadsheets/d/1MeEWN-I1oV_STSDYn1IFDPWt_1FKiwhDph83XaGc0o0/edit?usp=sharing"",""งบพรบ!DP50"")"),165542)</f>
        <v>165542</v>
      </c>
      <c r="O282" s="93">
        <f t="shared" ca="1" si="126"/>
        <v>91.252962901714355</v>
      </c>
      <c r="P282" s="93">
        <f t="shared" ca="1" si="127"/>
        <v>91.252962901714355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IFERROR(__xludf.DUMMYFUNCTION("IMPORTRANGE(""https://docs.google.com/spreadsheets/d/1MeEWN-I1oV_STSDYn1IFDPWt_1FKiwhDph83XaGc0o0/edit?usp=sharing"",""งบพรบ!DL50"")"),0)</f>
        <v>0</v>
      </c>
      <c r="M285" s="93">
        <f ca="1">IFERROR(__xludf.DUMMYFUNCTION("IMPORTRANGE(""https://docs.google.com/spreadsheets/d/1MeEWN-I1oV_STSDYn1IFDPWt_1FKiwhDph83XaGc0o0/edit?usp=sharing"",""งบพรบ!DO50"")"),0)</f>
        <v>0</v>
      </c>
      <c r="N285" s="93">
        <f ca="1">IFERROR(__xludf.DUMMYFUNCTION("IMPORTRANGE(""https://docs.google.com/spreadsheets/d/1MeEWN-I1oV_STSDYn1IFDPWt_1FKiwhDph83XaGc0o0/edit?usp=sharing"",""งบพรบ!DQ50"")"),0)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IFERROR(__xludf.DUMMYFUNCTION("IMPORTRANGE(""https://docs.google.com/spreadsheets/d/1QqKyyYR6Q21VydFLVH3TRQUabQu_ym0Zz7PgGX0-kHA/edit?usp=sharing"",""แผน!EC50"")"),500)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IFERROR(__xludf.DUMMYFUNCTION("IMPORTRANGE(""https://docs.google.com/spreadsheets/d/1QqKyyYR6Q21VydFLVH3TRQUabQu_ym0Zz7PgGX0-kHA/edit?usp=sharing"",""แผน!EB50"")"),50)</f>
        <v>50</v>
      </c>
      <c r="J288" s="679">
        <f ca="1">IF(AND(J291&gt;=I288,J294&gt;=I288),J294,0)</f>
        <v>50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IFERROR(__xludf.DUMMYFUNCTION("IMPORTRANGE(""https://docs.google.com/spreadsheets/d/1QqKyyYR6Q21VydFLVH3TRQUabQu_ym0Zz7PgGX0-kHA/edit?usp=sharing"",""แผน!EB50"")"),50)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IFERROR(__xludf.DUMMYFUNCTION("IMPORTRANGE(""https://docs.google.com/spreadsheets/d/1QqKyyYR6Q21VydFLVH3TRQUabQu_ym0Zz7PgGX0-kHA/edit?usp=sharing"",""แผน!EB50"")"),50)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IFERROR(__xludf.DUMMYFUNCTION("IMPORTRANGE(""https://docs.google.com/spreadsheets/d/1QqKyyYR6Q21VydFLVH3TRQUabQu_ym0Zz7PgGX0-kHA/edit?usp=sharing"",""แผน!EB50"")"),50)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IFERROR(__xludf.DUMMYFUNCTION("IMPORTRANGE(""https://docs.google.com/spreadsheets/d/1QqKyyYR6Q21VydFLVH3TRQUabQu_ym0Zz7PgGX0-kHA/edit?usp=sharing"",""แผน!EB50"")"),50)</f>
        <v>50</v>
      </c>
      <c r="J294" s="424">
        <v>50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62942</v>
      </c>
      <c r="O298" s="155">
        <f t="shared" ref="O298:O306" ca="1" si="136">IF(L298&gt;0,N298*100/L298,0)</f>
        <v>76.385922330097088</v>
      </c>
      <c r="P298" s="155">
        <f t="shared" ref="P298:P306" ca="1" si="137">IF(M298&gt;0,N298*100/M298,0)</f>
        <v>97.736024844720504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62942</v>
      </c>
      <c r="O300" s="93">
        <f t="shared" ca="1" si="136"/>
        <v>76.385922330097088</v>
      </c>
      <c r="P300" s="93">
        <f t="shared" ca="1" si="137"/>
        <v>97.736024844720504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62942</v>
      </c>
      <c r="O301" s="497">
        <f t="shared" ca="1" si="136"/>
        <v>76.385922330097088</v>
      </c>
      <c r="P301" s="497">
        <f t="shared" ca="1" si="137"/>
        <v>97.736024844720504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IFERROR(__xludf.DUMMYFUNCTION("IMPORTRANGE(""https://docs.google.com/spreadsheets/d/1MeEWN-I1oV_STSDYn1IFDPWt_1FKiwhDph83XaGc0o0/edit?usp=sharing"",""งบพรบ!DS50"")"),82400)</f>
        <v>82400</v>
      </c>
      <c r="M303" s="93">
        <f ca="1">IFERROR(__xludf.DUMMYFUNCTION("IMPORTRANGE(""https://docs.google.com/spreadsheets/d/1MeEWN-I1oV_STSDYn1IFDPWt_1FKiwhDph83XaGc0o0/edit?usp=sharing"",""งบพรบ!DX50"")"),64400)</f>
        <v>64400</v>
      </c>
      <c r="N303" s="93">
        <f ca="1">IFERROR(__xludf.DUMMYFUNCTION("IMPORTRANGE(""https://docs.google.com/spreadsheets/d/1MeEWN-I1oV_STSDYn1IFDPWt_1FKiwhDph83XaGc0o0/edit?usp=sharing"",""งบพรบ!DZ50"")"),62942)</f>
        <v>62942</v>
      </c>
      <c r="O303" s="93">
        <f t="shared" ca="1" si="136"/>
        <v>76.385922330097088</v>
      </c>
      <c r="P303" s="93">
        <f t="shared" ca="1" si="137"/>
        <v>97.736024844720504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IFERROR(__xludf.DUMMYFUNCTION("IMPORTRANGE(""https://docs.google.com/spreadsheets/d/1MeEWN-I1oV_STSDYn1IFDPWt_1FKiwhDph83XaGc0o0/edit?usp=sharing"",""งบพรบ!DV50"")"),0)</f>
        <v>0</v>
      </c>
      <c r="M306" s="93">
        <f ca="1">IFERROR(__xludf.DUMMYFUNCTION("IMPORTRANGE(""https://docs.google.com/spreadsheets/d/1MeEWN-I1oV_STSDYn1IFDPWt_1FKiwhDph83XaGc0o0/edit?usp=sharing"",""งบพรบ!DY50"")"),0)</f>
        <v>0</v>
      </c>
      <c r="N306" s="93">
        <f ca="1">IFERROR(__xludf.DUMMYFUNCTION("IMPORTRANGE(""https://docs.google.com/spreadsheets/d/1MeEWN-I1oV_STSDYn1IFDPWt_1FKiwhDph83XaGc0o0/edit?usp=sharing"",""งบพรบ!EA50"")"),0)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IFERROR(__xludf.DUMMYFUNCTION("IMPORTRANGE(""https://docs.google.com/spreadsheets/d/1QqKyyYR6Q21VydFLVH3TRQUabQu_ym0Zz7PgGX0-kHA/edit?usp=sharing"",""แผน!EE50"")"),4)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IFERROR(__xludf.DUMMYFUNCTION("IMPORTRANGE(""https://docs.google.com/spreadsheets/d/1MeEWN-I1oV_STSDYn1IFDPWt_1FKiwhDph83XaGc0o0/edit?usp=sharing"",""งบพรบ!EC50"")"),0)</f>
        <v>0</v>
      </c>
      <c r="M320" s="93">
        <f ca="1">IFERROR(__xludf.DUMMYFUNCTION("IMPORTRANGE(""https://docs.google.com/spreadsheets/d/1MeEWN-I1oV_STSDYn1IFDPWt_1FKiwhDph83XaGc0o0/edit?usp=sharing"",""งบพรบ!EH50"")"),0)</f>
        <v>0</v>
      </c>
      <c r="N320" s="93">
        <f ca="1">IFERROR(__xludf.DUMMYFUNCTION("IMPORTRANGE(""https://docs.google.com/spreadsheets/d/1MeEWN-I1oV_STSDYn1IFDPWt_1FKiwhDph83XaGc0o0/edit?usp=sharing"",""งบพรบ!EJ50"")"),0)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IFERROR(__xludf.DUMMYFUNCTION("IMPORTRANGE(""https://docs.google.com/spreadsheets/d/1MeEWN-I1oV_STSDYn1IFDPWt_1FKiwhDph83XaGc0o0/edit?usp=sharing"",""งบพรบ!EF50"")"),0)</f>
        <v>0</v>
      </c>
      <c r="M323" s="93">
        <f ca="1">IFERROR(__xludf.DUMMYFUNCTION("IMPORTRANGE(""https://docs.google.com/spreadsheets/d/1MeEWN-I1oV_STSDYn1IFDPWt_1FKiwhDph83XaGc0o0/edit?usp=sharing"",""งบพรบ!EI50"")"),0)</f>
        <v>0</v>
      </c>
      <c r="N323" s="93">
        <f ca="1">IFERROR(__xludf.DUMMYFUNCTION("IMPORTRANGE(""https://docs.google.com/spreadsheets/d/1MeEWN-I1oV_STSDYn1IFDPWt_1FKiwhDph83XaGc0o0/edit?usp=sharing"",""งบพรบ!EK50"")"),0)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IFERROR(__xludf.DUMMYFUNCTION("IMPORTRANGE(""https://docs.google.com/spreadsheets/d/1QqKyyYR6Q21VydFLVH3TRQUabQu_ym0Zz7PgGX0-kHA/edit?usp=sharing"",""แผน!EG50"")"),8800)</f>
        <v>8800</v>
      </c>
      <c r="J327" s="444">
        <f ca="1">J338+J341+J342+J343</f>
        <v>14163</v>
      </c>
      <c r="K327" s="445">
        <f ca="1">IF(I327&gt;0,J327*100/I327,0)</f>
        <v>160.94318181818181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192000</v>
      </c>
      <c r="M328" s="155">
        <f t="shared" ca="1" si="149"/>
        <v>146500</v>
      </c>
      <c r="N328" s="155">
        <f t="shared" ca="1" si="149"/>
        <v>84030</v>
      </c>
      <c r="O328" s="155">
        <f t="shared" ref="O328:O336" ca="1" si="150">IF(L328&gt;0,N328*100/L328,0)</f>
        <v>43.765625</v>
      </c>
      <c r="P328" s="155">
        <f t="shared" ref="P328:P336" ca="1" si="151">IF(M328&gt;0,N328*100/M328,0)</f>
        <v>57.358361774744026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192000</v>
      </c>
      <c r="M330" s="93">
        <f t="shared" ca="1" si="152"/>
        <v>146500</v>
      </c>
      <c r="N330" s="93">
        <f t="shared" ca="1" si="152"/>
        <v>84030</v>
      </c>
      <c r="O330" s="93">
        <f t="shared" ca="1" si="150"/>
        <v>43.765625</v>
      </c>
      <c r="P330" s="93">
        <f t="shared" ca="1" si="151"/>
        <v>57.358361774744026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192000</v>
      </c>
      <c r="M331" s="497">
        <f t="shared" ca="1" si="153"/>
        <v>146500</v>
      </c>
      <c r="N331" s="497">
        <f t="shared" ca="1" si="153"/>
        <v>84030</v>
      </c>
      <c r="O331" s="497">
        <f t="shared" ca="1" si="150"/>
        <v>43.765625</v>
      </c>
      <c r="P331" s="497">
        <f t="shared" ca="1" si="151"/>
        <v>57.358361774744026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IFERROR(__xludf.DUMMYFUNCTION("IMPORTRANGE(""https://docs.google.com/spreadsheets/d/1MeEWN-I1oV_STSDYn1IFDPWt_1FKiwhDph83XaGc0o0/edit?usp=sharing"",""งบพรบ!EM50"")"),192000)</f>
        <v>192000</v>
      </c>
      <c r="M333" s="93">
        <f ca="1">IFERROR(__xludf.DUMMYFUNCTION("IMPORTRANGE(""https://docs.google.com/spreadsheets/d/1MeEWN-I1oV_STSDYn1IFDPWt_1FKiwhDph83XaGc0o0/edit?usp=sharing"",""งบพรบ!ER50"")"),146500)</f>
        <v>146500</v>
      </c>
      <c r="N333" s="93">
        <f ca="1">IFERROR(__xludf.DUMMYFUNCTION("IMPORTRANGE(""https://docs.google.com/spreadsheets/d/1MeEWN-I1oV_STSDYn1IFDPWt_1FKiwhDph83XaGc0o0/edit?usp=sharing"",""งบพรบ!ET50"")"),84030)</f>
        <v>84030</v>
      </c>
      <c r="O333" s="93">
        <f t="shared" ca="1" si="150"/>
        <v>43.765625</v>
      </c>
      <c r="P333" s="93">
        <f t="shared" ca="1" si="151"/>
        <v>57.358361774744026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IFERROR(__xludf.DUMMYFUNCTION("IMPORTRANGE(""https://docs.google.com/spreadsheets/d/1MeEWN-I1oV_STSDYn1IFDPWt_1FKiwhDph83XaGc0o0/edit?usp=sharing"",""งบพรบ!EP50"")"),0)</f>
        <v>0</v>
      </c>
      <c r="M336" s="93">
        <f ca="1">IFERROR(__xludf.DUMMYFUNCTION("IMPORTRANGE(""https://docs.google.com/spreadsheets/d/1MeEWN-I1oV_STSDYn1IFDPWt_1FKiwhDph83XaGc0o0/edit?usp=sharing"",""งบพรบ!ES50"")"),0)</f>
        <v>0</v>
      </c>
      <c r="N336" s="93">
        <f ca="1">IFERROR(__xludf.DUMMYFUNCTION("IMPORTRANGE(""https://docs.google.com/spreadsheets/d/1MeEWN-I1oV_STSDYn1IFDPWt_1FKiwhDph83XaGc0o0/edit?usp=sharing"",""งบพรบ!EU50"")"),0)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IFERROR(__xludf.DUMMYFUNCTION("IMPORTRANGE(""https://docs.google.com/spreadsheets/d/1QqKyyYR6Q21VydFLVH3TRQUabQu_ym0Zz7PgGX0-kHA/edit?usp=sharing"",""แผน!EG50"")"),8800)</f>
        <v>8800</v>
      </c>
      <c r="J338" s="270">
        <f ca="1">IFERROR(__xludf.DUMMYFUNCTION("IMPORTRANGE(""https://docs.google.com/spreadsheets/d/1kVcqe37tkHyjCSG3S0O1AXqVkqjo8mSIZil3BcpIysc/edit?usp=sharing"",""ศูนย์!D50"")"),13829)</f>
        <v>13829</v>
      </c>
      <c r="K338" s="497">
        <f ca="1">IF(I338&gt;0,J338*100/I338,0)</f>
        <v>157.14772727272728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IFERROR(__xludf.DUMMYFUNCTION("IMPORTRANGE(""https://docs.google.com/spreadsheets/d/1QqKyyYR6Q21VydFLVH3TRQUabQu_ym0Zz7PgGX0-kHA/edit?usp=sharing"",""แผน!EH50"")"),12)</f>
        <v>12</v>
      </c>
      <c r="J340" s="270">
        <f ca="1">IFERROR(__xludf.DUMMYFUNCTION("IMPORTRANGE(""https://docs.google.com/spreadsheets/d/1kVcqe37tkHyjCSG3S0O1AXqVkqjo8mSIZil3BcpIysc/edit?usp=sharing"",""ศูนย์!E50"")"),8)</f>
        <v>8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IFERROR(__xludf.DUMMYFUNCTION("IMPORTRANGE(""https://docs.google.com/spreadsheets/d/1kVcqe37tkHyjCSG3S0O1AXqVkqjo8mSIZil3BcpIysc/edit?usp=sharing"",""ศูนย์!F50"")"),334)</f>
        <v>334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2655720</v>
      </c>
      <c r="M345" s="155">
        <f t="shared" ca="1" si="155"/>
        <v>2181022</v>
      </c>
      <c r="N345" s="155">
        <f t="shared" ca="1" si="155"/>
        <v>1712291.14</v>
      </c>
      <c r="O345" s="155">
        <f t="shared" ref="O345:O353" ca="1" si="156">IF(L345&gt;0,N345*100/L345,0)</f>
        <v>64.475590047143527</v>
      </c>
      <c r="P345" s="155">
        <f t="shared" ref="P345:P353" ca="1" si="157">IF(M345&gt;0,N345*100/M345,0)</f>
        <v>78.508659701736164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2655720</v>
      </c>
      <c r="M347" s="93">
        <f t="shared" ca="1" si="158"/>
        <v>2181022</v>
      </c>
      <c r="N347" s="93">
        <f t="shared" ca="1" si="158"/>
        <v>1712291.14</v>
      </c>
      <c r="O347" s="93">
        <f t="shared" ca="1" si="156"/>
        <v>64.475590047143527</v>
      </c>
      <c r="P347" s="93">
        <f t="shared" ca="1" si="157"/>
        <v>78.508659701736164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2482320</v>
      </c>
      <c r="M348" s="497">
        <f t="shared" ca="1" si="159"/>
        <v>2007622</v>
      </c>
      <c r="N348" s="497">
        <f t="shared" ca="1" si="159"/>
        <v>1538891.14</v>
      </c>
      <c r="O348" s="497">
        <f t="shared" ca="1" si="156"/>
        <v>61.994067646395308</v>
      </c>
      <c r="P348" s="497">
        <f t="shared" ca="1" si="157"/>
        <v>76.652434571846698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IFERROR(__xludf.DUMMYFUNCTION("IMPORTRANGE(""https://docs.google.com/spreadsheets/d/1MeEWN-I1oV_STSDYn1IFDPWt_1FKiwhDph83XaGc0o0/edit?usp=sharing"",""งบพรบ!EW50"")"),2482320)</f>
        <v>2482320</v>
      </c>
      <c r="M350" s="93">
        <f ca="1">IFERROR(__xludf.DUMMYFUNCTION("IMPORTRANGE(""https://docs.google.com/spreadsheets/d/1MeEWN-I1oV_STSDYn1IFDPWt_1FKiwhDph83XaGc0o0/edit?usp=sharing"",""งบพรบ!FB50"")"),2007622)</f>
        <v>2007622</v>
      </c>
      <c r="N350" s="93">
        <f ca="1">IFERROR(__xludf.DUMMYFUNCTION("IMPORTRANGE(""https://docs.google.com/spreadsheets/d/1MeEWN-I1oV_STSDYn1IFDPWt_1FKiwhDph83XaGc0o0/edit?usp=sharing"",""งบพรบ!FD50"")"),1538891.14)</f>
        <v>1538891.14</v>
      </c>
      <c r="O350" s="93">
        <f t="shared" ca="1" si="156"/>
        <v>61.994067646395308</v>
      </c>
      <c r="P350" s="93">
        <f t="shared" ca="1" si="157"/>
        <v>76.652434571846698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IFERROR(__xludf.DUMMYFUNCTION("IMPORTRANGE(""https://docs.google.com/spreadsheets/d/1MeEWN-I1oV_STSDYn1IFDPWt_1FKiwhDph83XaGc0o0/edit?usp=sharing"",""งบพรบ!EZ50"")"),173400)</f>
        <v>173400</v>
      </c>
      <c r="M353" s="93">
        <f ca="1">IFERROR(__xludf.DUMMYFUNCTION("IMPORTRANGE(""https://docs.google.com/spreadsheets/d/1MeEWN-I1oV_STSDYn1IFDPWt_1FKiwhDph83XaGc0o0/edit?usp=sharing"",""งบพรบ!FC50"")"),173400)</f>
        <v>173400</v>
      </c>
      <c r="N353" s="93">
        <f ca="1">IFERROR(__xludf.DUMMYFUNCTION("IMPORTRANGE(""https://docs.google.com/spreadsheets/d/1MeEWN-I1oV_STSDYn1IFDPWt_1FKiwhDph83XaGc0o0/edit?usp=sharing"",""งบพรบ!FE50"")"),173400)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IFERROR(__xludf.DUMMYFUNCTION("IMPORTRANGE(""https://docs.google.com/spreadsheets/d/1QqKyyYR6Q21VydFLVH3TRQUabQu_ym0Zz7PgGX0-kHA/edit?usp=sharing"",""แผน!EP50"")"),1650)</f>
        <v>1650</v>
      </c>
      <c r="J355" s="464">
        <f ca="1">J362</f>
        <v>441</v>
      </c>
      <c r="K355" s="465">
        <f ca="1">IF(I355&gt;0,J355*100/I355,0)</f>
        <v>26.727272727272727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IFERROR(__xludf.DUMMYFUNCTION("IMPORTRANGE(""https://docs.google.com/spreadsheets/d/1XWAQStnk-4SwqDmLtmXYiTMKHgktTP8We1SCoS47DrQ/edit?usp=sharing"",""จัดที่ดิน!W50"")"),1162)</f>
        <v>1162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IFERROR(__xludf.DUMMYFUNCTION("IMPORTRANGE(""https://docs.google.com/spreadsheets/d/1QqKyyYR6Q21VydFLVH3TRQUabQu_ym0Zz7PgGX0-kHA/edit?usp=sharing"",""แผน!EO50"")"),21000)</f>
        <v>21000</v>
      </c>
      <c r="J359" s="270">
        <f ca="1">IFERROR(__xludf.DUMMYFUNCTION("IMPORTRANGE(""https://docs.google.com/spreadsheets/d/1XWAQStnk-4SwqDmLtmXYiTMKHgktTP8We1SCoS47DrQ/edit?usp=sharing"",""จัดที่ดิน!X50"")"),11811.82)</f>
        <v>11811.82</v>
      </c>
      <c r="K359" s="497">
        <f t="shared" ca="1" si="161"/>
        <v>56.246761904761904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IFERROR(__xludf.DUMMYFUNCTION("IMPORTRANGE(""https://docs.google.com/spreadsheets/d/1QqKyyYR6Q21VydFLVH3TRQUabQu_ym0Zz7PgGX0-kHA/edit?usp=sharing"",""แผน!EP50"")"),1650)</f>
        <v>1650</v>
      </c>
      <c r="J360" s="270">
        <f ca="1">IFERROR(__xludf.DUMMYFUNCTION("IMPORTRANGE(""https://docs.google.com/spreadsheets/d/1XWAQStnk-4SwqDmLtmXYiTMKHgktTP8We1SCoS47DrQ/edit?usp=sharing"",""จัดที่ดิน!Y50"")"),1140)</f>
        <v>1140</v>
      </c>
      <c r="K360" s="497">
        <f t="shared" ca="1" si="161"/>
        <v>69.090909090909093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IFERROR(__xludf.DUMMYFUNCTION("IMPORTRANGE(""https://docs.google.com/spreadsheets/d/1XWAQStnk-4SwqDmLtmXYiTMKHgktTP8We1SCoS47DrQ/edit?usp=sharing"",""จัดที่ดิน!Z50"")"),12735.22)</f>
        <v>12735.22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IFERROR(__xludf.DUMMYFUNCTION("IMPORTRANGE(""https://docs.google.com/spreadsheets/d/1QqKyyYR6Q21VydFLVH3TRQUabQu_ym0Zz7PgGX0-kHA/edit?usp=sharing"",""แผน!EP50"")"),1650)</f>
        <v>1650</v>
      </c>
      <c r="J362" s="270">
        <f ca="1">IFERROR(__xludf.DUMMYFUNCTION("IMPORTRANGE(""https://docs.google.com/spreadsheets/d/1XWAQStnk-4SwqDmLtmXYiTMKHgktTP8We1SCoS47DrQ/edit?usp=sharing"",""จัดที่ดิน!AA50"")"),441)</f>
        <v>441</v>
      </c>
      <c r="K362" s="497">
        <f t="shared" ca="1" si="161"/>
        <v>26.727272727272727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IFERROR(__xludf.DUMMYFUNCTION("IMPORTRANGE(""https://docs.google.com/spreadsheets/d/1XWAQStnk-4SwqDmLtmXYiTMKHgktTP8We1SCoS47DrQ/edit?usp=sharing"",""จัดที่ดิน!AB50"")"),4635.12)</f>
        <v>4635.12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2150</v>
      </c>
      <c r="J364" s="478">
        <f t="shared" ca="1" si="162"/>
        <v>760</v>
      </c>
      <c r="K364" s="479">
        <f t="shared" ca="1" si="161"/>
        <v>35.348837209302324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IFERROR(__xludf.DUMMYFUNCTION("IMPORTRANGE(""https://docs.google.com/spreadsheets/d/1QqKyyYR6Q21VydFLVH3TRQUabQu_ym0Zz7PgGX0-kHA/edit?usp=sharing"",""แผน!EJ50"")"),400)</f>
        <v>400</v>
      </c>
      <c r="J365" s="490">
        <f ca="1">J372</f>
        <v>162</v>
      </c>
      <c r="K365" s="491">
        <f t="shared" ca="1" si="161"/>
        <v>40.5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IFERROR(__xludf.DUMMYFUNCTION("IMPORTRANGE(""https://docs.google.com/spreadsheets/d/1XWAQStnk-4SwqDmLtmXYiTMKHgktTP8We1SCoS47DrQ/edit?usp=sharing"",""จัดที่ดิน!E50"")"),395)</f>
        <v>395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IFERROR(__xludf.DUMMYFUNCTION("IMPORTRANGE(""https://docs.google.com/spreadsheets/d/1QqKyyYR6Q21VydFLVH3TRQUabQu_ym0Zz7PgGX0-kHA/edit?usp=sharing"",""แผน!EI50"")"),6000)</f>
        <v>6000</v>
      </c>
      <c r="J369" s="270">
        <f ca="1">IFERROR(__xludf.DUMMYFUNCTION("IMPORTRANGE(""https://docs.google.com/spreadsheets/d/1XWAQStnk-4SwqDmLtmXYiTMKHgktTP8We1SCoS47DrQ/edit?usp=sharing"",""จัดที่ดิน!F50"")"),4363.45)</f>
        <v>4363.45</v>
      </c>
      <c r="K369" s="497">
        <f t="shared" ca="1" si="163"/>
        <v>72.724166666666662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IFERROR(__xludf.DUMMYFUNCTION("IMPORTRANGE(""https://docs.google.com/spreadsheets/d/1QqKyyYR6Q21VydFLVH3TRQUabQu_ym0Zz7PgGX0-kHA/edit?usp=sharing"",""แผน!EJ50"")"),400)</f>
        <v>400</v>
      </c>
      <c r="J370" s="270">
        <f ca="1">IFERROR(__xludf.DUMMYFUNCTION("IMPORTRANGE(""https://docs.google.com/spreadsheets/d/1XWAQStnk-4SwqDmLtmXYiTMKHgktTP8We1SCoS47DrQ/edit?usp=sharing"",""จัดที่ดิน!G50"")"),315)</f>
        <v>315</v>
      </c>
      <c r="K370" s="497">
        <f t="shared" ca="1" si="163"/>
        <v>78.75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IFERROR(__xludf.DUMMYFUNCTION("IMPORTRANGE(""https://docs.google.com/spreadsheets/d/1XWAQStnk-4SwqDmLtmXYiTMKHgktTP8We1SCoS47DrQ/edit?usp=sharing"",""จัดที่ดิน!H50"")"),3660.8)</f>
        <v>3660.8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IFERROR(__xludf.DUMMYFUNCTION("IMPORTRANGE(""https://docs.google.com/spreadsheets/d/1QqKyyYR6Q21VydFLVH3TRQUabQu_ym0Zz7PgGX0-kHA/edit?usp=sharing"",""แผน!EJ50"")"),400)</f>
        <v>400</v>
      </c>
      <c r="J372" s="270">
        <f ca="1">IFERROR(__xludf.DUMMYFUNCTION("IMPORTRANGE(""https://docs.google.com/spreadsheets/d/1XWAQStnk-4SwqDmLtmXYiTMKHgktTP8We1SCoS47DrQ/edit?usp=sharing"",""จัดที่ดิน!I50"")"),162)</f>
        <v>162</v>
      </c>
      <c r="K372" s="497">
        <f t="shared" ca="1" si="163"/>
        <v>40.5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IFERROR(__xludf.DUMMYFUNCTION("IMPORTRANGE(""https://docs.google.com/spreadsheets/d/1XWAQStnk-4SwqDmLtmXYiTMKHgktTP8We1SCoS47DrQ/edit?usp=sharing"",""จัดที่ดิน!J50"")"),2073.71)</f>
        <v>2073.71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IFERROR(__xludf.DUMMYFUNCTION("IMPORTRANGE(""https://docs.google.com/spreadsheets/d/1QqKyyYR6Q21VydFLVH3TRQUabQu_ym0Zz7PgGX0-kHA/edit?usp=sharing"",""แผน!EU50"")"),1750)</f>
        <v>1750</v>
      </c>
      <c r="J374" s="490">
        <f ca="1">J381</f>
        <v>598</v>
      </c>
      <c r="K374" s="491">
        <f t="shared" ca="1" si="163"/>
        <v>34.171428571428571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IFERROR(__xludf.DUMMYFUNCTION("IMPORTRANGE(""https://docs.google.com/spreadsheets/d/1XWAQStnk-4SwqDmLtmXYiTMKHgktTP8We1SCoS47DrQ/edit?usp=sharing"",""จัดที่ดิน!AH50"")"),767)</f>
        <v>767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IFERROR(__xludf.DUMMYFUNCTION("IMPORTRANGE(""https://docs.google.com/spreadsheets/d/1QqKyyYR6Q21VydFLVH3TRQUabQu_ym0Zz7PgGX0-kHA/edit?usp=sharing"",""แผน!ET50"")"),15000)</f>
        <v>15000</v>
      </c>
      <c r="J378" s="270">
        <f ca="1">IFERROR(__xludf.DUMMYFUNCTION("IMPORTRANGE(""https://docs.google.com/spreadsheets/d/1XWAQStnk-4SwqDmLtmXYiTMKHgktTP8We1SCoS47DrQ/edit?usp=sharing"",""จัดที่ดิน!AI50"")"),7448.37)</f>
        <v>7448.37</v>
      </c>
      <c r="K378" s="497">
        <f t="shared" ca="1" si="164"/>
        <v>49.655799999999999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IFERROR(__xludf.DUMMYFUNCTION("IMPORTRANGE(""https://docs.google.com/spreadsheets/d/1QqKyyYR6Q21VydFLVH3TRQUabQu_ym0Zz7PgGX0-kHA/edit?usp=sharing"",""แผน!EU50"")"),1750)</f>
        <v>1750</v>
      </c>
      <c r="J379" s="270">
        <f ca="1">IFERROR(__xludf.DUMMYFUNCTION("IMPORTRANGE(""https://docs.google.com/spreadsheets/d/1XWAQStnk-4SwqDmLtmXYiTMKHgktTP8We1SCoS47DrQ/edit?usp=sharing"",""จัดที่ดิน!AJ50"")"),1149)</f>
        <v>1149</v>
      </c>
      <c r="K379" s="497">
        <f t="shared" ca="1" si="164"/>
        <v>65.657142857142858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IFERROR(__xludf.DUMMYFUNCTION("IMPORTRANGE(""https://docs.google.com/spreadsheets/d/1XWAQStnk-4SwqDmLtmXYiTMKHgktTP8We1SCoS47DrQ/edit?usp=sharing"",""จัดที่ดิน!AK50"")"),13982.77)</f>
        <v>13982.77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IFERROR(__xludf.DUMMYFUNCTION("IMPORTRANGE(""https://docs.google.com/spreadsheets/d/1QqKyyYR6Q21VydFLVH3TRQUabQu_ym0Zz7PgGX0-kHA/edit?usp=sharing"",""แผน!EU50"")"),1750)</f>
        <v>1750</v>
      </c>
      <c r="J381" s="270">
        <f ca="1">IFERROR(__xludf.DUMMYFUNCTION("IMPORTRANGE(""https://docs.google.com/spreadsheets/d/1XWAQStnk-4SwqDmLtmXYiTMKHgktTP8We1SCoS47DrQ/edit?usp=sharing"",""จัดที่ดิน!AL50"")"),598)</f>
        <v>598</v>
      </c>
      <c r="K381" s="497">
        <f t="shared" ca="1" si="164"/>
        <v>34.171428571428571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IFERROR(__xludf.DUMMYFUNCTION("IMPORTRANGE(""https://docs.google.com/spreadsheets/d/1XWAQStnk-4SwqDmLtmXYiTMKHgktTP8We1SCoS47DrQ/edit?usp=sharing"",""จัดที่ดิน!AM50"")"),7394.43)</f>
        <v>7394.43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IFERROR(__xludf.DUMMYFUNCTION("IMPORTRANGE(""https://docs.google.com/spreadsheets/d/1QqKyyYR6Q21VydFLVH3TRQUabQu_ym0Zz7PgGX0-kHA/edit?usp=sharing"",""แผน!EW50"")"),100)</f>
        <v>100</v>
      </c>
      <c r="J385" s="504">
        <f ca="1">IFERROR(__xludf.DUMMYFUNCTION("IMPORTRANGE(""https://docs.google.com/spreadsheets/d/1XWAQStnk-4SwqDmLtmXYiTMKHgktTP8We1SCoS47DrQ/edit?usp=sharing"",""จัดที่ดิน!AP50"")"),3)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IFERROR(__xludf.DUMMYFUNCTION("IMPORTRANGE(""https://docs.google.com/spreadsheets/d/1MeEWN-I1oV_STSDYn1IFDPWt_1FKiwhDph83XaGc0o0/edit?usp=sharing"",""งบพรบ!FG50"")"),0)</f>
        <v>0</v>
      </c>
      <c r="M394" s="93">
        <f ca="1">IFERROR(__xludf.DUMMYFUNCTION("IMPORTRANGE(""https://docs.google.com/spreadsheets/d/1MeEWN-I1oV_STSDYn1IFDPWt_1FKiwhDph83XaGc0o0/edit?usp=sharing"",""งบพรบ!FL50"")"),0)</f>
        <v>0</v>
      </c>
      <c r="N394" s="93">
        <f ca="1">IFERROR(__xludf.DUMMYFUNCTION("IMPORTRANGE(""https://docs.google.com/spreadsheets/d/1MeEWN-I1oV_STSDYn1IFDPWt_1FKiwhDph83XaGc0o0/edit?usp=sharing"",""งบพรบ!FN50"")"),0)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IFERROR(__xludf.DUMMYFUNCTION("IMPORTRANGE(""https://docs.google.com/spreadsheets/d/1MeEWN-I1oV_STSDYn1IFDPWt_1FKiwhDph83XaGc0o0/edit?usp=sharing"",""งบพรบ!FJ50"")"),0)</f>
        <v>0</v>
      </c>
      <c r="M397" s="93">
        <f ca="1">IFERROR(__xludf.DUMMYFUNCTION("IMPORTRANGE(""https://docs.google.com/spreadsheets/d/1MeEWN-I1oV_STSDYn1IFDPWt_1FKiwhDph83XaGc0o0/edit?usp=sharing"",""งบพรบ!FM50"")"),0)</f>
        <v>0</v>
      </c>
      <c r="N397" s="93">
        <f ca="1">IFERROR(__xludf.DUMMYFUNCTION("IMPORTRANGE(""https://docs.google.com/spreadsheets/d/1MeEWN-I1oV_STSDYn1IFDPWt_1FKiwhDph83XaGc0o0/edit?usp=sharing"",""งบพรบ!FO50"")"),0)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IFERROR(__xludf.DUMMYFUNCTION("IMPORTRANGE(""https://docs.google.com/spreadsheets/d/1MeEWN-I1oV_STSDYn1IFDPWt_1FKiwhDph83XaGc0o0/edit?usp=sharing"",""งบพรบ!FQ50"")"),0)</f>
        <v>0</v>
      </c>
      <c r="M407" s="93">
        <f ca="1">IFERROR(__xludf.DUMMYFUNCTION("IMPORTRANGE(""https://docs.google.com/spreadsheets/d/1MeEWN-I1oV_STSDYn1IFDPWt_1FKiwhDph83XaGc0o0/edit?usp=sharing"",""งบพรบ!FV50"")"),0)</f>
        <v>0</v>
      </c>
      <c r="N407" s="93">
        <f ca="1">IFERROR(__xludf.DUMMYFUNCTION("IMPORTRANGE(""https://docs.google.com/spreadsheets/d/1MeEWN-I1oV_STSDYn1IFDPWt_1FKiwhDph83XaGc0o0/edit?usp=sharing"",""งบพรบ!FX50"")"),0)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IFERROR(__xludf.DUMMYFUNCTION("IMPORTRANGE(""https://docs.google.com/spreadsheets/d/1MeEWN-I1oV_STSDYn1IFDPWt_1FKiwhDph83XaGc0o0/edit?usp=sharing"",""งบพรบ!FT50"")"),0)</f>
        <v>0</v>
      </c>
      <c r="M410" s="93">
        <f ca="1">IFERROR(__xludf.DUMMYFUNCTION("IMPORTRANGE(""https://docs.google.com/spreadsheets/d/1MeEWN-I1oV_STSDYn1IFDPWt_1FKiwhDph83XaGc0o0/edit?usp=sharing"",""งบพรบ!FW50"")"),0)</f>
        <v>0</v>
      </c>
      <c r="N410" s="93">
        <f ca="1">IFERROR(__xludf.DUMMYFUNCTION("IMPORTRANGE(""https://docs.google.com/spreadsheets/d/1MeEWN-I1oV_STSDYn1IFDPWt_1FKiwhDph83XaGc0o0/edit?usp=sharing"",""งบพรบ!FY50"")"),0)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3956925</v>
      </c>
      <c r="M414" s="552">
        <f t="shared" ca="1" si="181"/>
        <v>3956925</v>
      </c>
      <c r="N414" s="552">
        <f t="shared" si="181"/>
        <v>2336918.0499999998</v>
      </c>
      <c r="O414" s="552">
        <f ca="1">IF(L414&gt;0,N414*100/L414,0)</f>
        <v>59.058942234184364</v>
      </c>
      <c r="P414" s="552">
        <f ca="1">IF(M414&gt;0,N414*100/M414,0)</f>
        <v>59.058942234184364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67560</v>
      </c>
      <c r="M419" s="155">
        <f t="shared" ca="1" si="184"/>
        <v>67560</v>
      </c>
      <c r="N419" s="155">
        <f t="shared" si="184"/>
        <v>57263</v>
      </c>
      <c r="O419" s="155">
        <f t="shared" ref="O419:O424" ca="1" si="185">IF(L419&gt;0,N419*100/L419,0)</f>
        <v>84.758732978093548</v>
      </c>
      <c r="P419" s="155">
        <f t="shared" ref="P419:P424" ca="1" si="186">IF(M419&gt;0,N419*100/M419,0)</f>
        <v>84.758732978093548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67560</v>
      </c>
      <c r="M421" s="93">
        <f t="shared" ca="1" si="187"/>
        <v>67560</v>
      </c>
      <c r="N421" s="93">
        <f t="shared" si="187"/>
        <v>57263</v>
      </c>
      <c r="O421" s="93">
        <f t="shared" ca="1" si="185"/>
        <v>84.758732978093548</v>
      </c>
      <c r="P421" s="93">
        <f t="shared" ca="1" si="186"/>
        <v>84.758732978093548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67560</v>
      </c>
      <c r="M422" s="497">
        <f t="shared" ca="1" si="188"/>
        <v>67560</v>
      </c>
      <c r="N422" s="497">
        <f t="shared" si="188"/>
        <v>57263</v>
      </c>
      <c r="O422" s="497">
        <f t="shared" ca="1" si="185"/>
        <v>84.758732978093548</v>
      </c>
      <c r="P422" s="497">
        <f t="shared" ca="1" si="186"/>
        <v>84.758732978093548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IFERROR(__xludf.DUMMYFUNCTION("IMPORTRANGE(""https://docs.google.com/spreadsheets/d/1QqKyyYR6Q21VydFLVH3TRQUabQu_ym0Zz7PgGX0-kHA/edit?usp=sharing"",""แผน!EY50"")"),67560)</f>
        <v>67560</v>
      </c>
      <c r="M424" s="93">
        <f ca="1">L424</f>
        <v>67560</v>
      </c>
      <c r="N424" s="93">
        <f>N425+N426+N427+N428</f>
        <v>57263</v>
      </c>
      <c r="O424" s="93">
        <f t="shared" ca="1" si="185"/>
        <v>84.758732978093548</v>
      </c>
      <c r="P424" s="93">
        <f t="shared" ca="1" si="186"/>
        <v>84.758732978093548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37300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4753+4250+10960</f>
        <v>19963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IFERROR(__xludf.DUMMYFUNCTION("IMPORTRANGE(""https://docs.google.com/spreadsheets/d/1QqKyyYR6Q21VydFLVH3TRQUabQu_ym0Zz7PgGX0-kHA/edit?usp=sharing"",""แผน!FC50"")"),15)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IFERROR(__xludf.DUMMYFUNCTION("IMPORTRANGE(""https://docs.google.com/spreadsheets/d/1QqKyyYR6Q21VydFLVH3TRQUabQu_ym0Zz7PgGX0-kHA/edit?usp=sharing"",""แผน!FD50"")"),0)</f>
        <v>0</v>
      </c>
      <c r="J437" s="582">
        <v>15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IFERROR(__xludf.DUMMYFUNCTION("IMPORTRANGE(""https://docs.google.com/spreadsheets/d/1QqKyyYR6Q21VydFLVH3TRQUabQu_ym0Zz7PgGX0-kHA/edit?usp=sharing"",""แผน!FF50"")"),15)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140</v>
      </c>
      <c r="J442" s="588">
        <f t="shared" si="195"/>
        <v>140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660</v>
      </c>
      <c r="J443" s="568">
        <f t="shared" si="196"/>
        <v>660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1043880</v>
      </c>
      <c r="M444" s="195">
        <f t="shared" ca="1" si="197"/>
        <v>1043880</v>
      </c>
      <c r="N444" s="195">
        <f t="shared" si="197"/>
        <v>864348</v>
      </c>
      <c r="O444" s="195">
        <f t="shared" ref="O444:O449" ca="1" si="198">IF(L444&gt;0,N444*100/L444,0)</f>
        <v>82.801471433498108</v>
      </c>
      <c r="P444" s="195">
        <f t="shared" ref="P444:P449" ca="1" si="199">IF(M444&gt;0,N444*100/M444,0)</f>
        <v>82.801471433498108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1043880</v>
      </c>
      <c r="M446" s="93">
        <f t="shared" ca="1" si="200"/>
        <v>1043880</v>
      </c>
      <c r="N446" s="93">
        <f t="shared" si="200"/>
        <v>864348</v>
      </c>
      <c r="O446" s="93">
        <f t="shared" ca="1" si="198"/>
        <v>82.801471433498108</v>
      </c>
      <c r="P446" s="93">
        <f t="shared" ca="1" si="199"/>
        <v>82.801471433498108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1043880</v>
      </c>
      <c r="M447" s="497">
        <f t="shared" ca="1" si="201"/>
        <v>1043880</v>
      </c>
      <c r="N447" s="497">
        <f t="shared" si="201"/>
        <v>864348</v>
      </c>
      <c r="O447" s="497">
        <f t="shared" ca="1" si="198"/>
        <v>82.801471433498108</v>
      </c>
      <c r="P447" s="497">
        <f t="shared" ca="1" si="199"/>
        <v>82.801471433498108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IFERROR(__xludf.DUMMYFUNCTION("IMPORTRANGE(""https://docs.google.com/spreadsheets/d/1QqKyyYR6Q21VydFLVH3TRQUabQu_ym0Zz7PgGX0-kHA/edit?usp=sharing"",""แผน!FJ50"")"),1043880)</f>
        <v>1043880</v>
      </c>
      <c r="M449" s="93">
        <f ca="1">L449</f>
        <v>1043880</v>
      </c>
      <c r="N449" s="93">
        <f>N450+N451+N452+N453</f>
        <v>864348</v>
      </c>
      <c r="O449" s="93">
        <f t="shared" ca="1" si="198"/>
        <v>82.801471433498108</v>
      </c>
      <c r="P449" s="93">
        <f t="shared" ca="1" si="199"/>
        <v>82.801471433498108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172114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479968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78000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36010+2840+21116+12000+62300</f>
        <v>134266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IFERROR(__xludf.DUMMYFUNCTION("IMPORTRANGE(""https://docs.google.com/spreadsheets/d/1QqKyyYR6Q21VydFLVH3TRQUabQu_ym0Zz7PgGX0-kHA/edit?usp=sharing"",""แผน!FN50"")"),140)</f>
        <v>140</v>
      </c>
      <c r="J460" s="215">
        <v>140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IFERROR(__xludf.DUMMYFUNCTION("IMPORTRANGE(""https://docs.google.com/spreadsheets/d/1QqKyyYR6Q21VydFLVH3TRQUabQu_ym0Zz7PgGX0-kHA/edit?usp=sharing"",""แผน!FO50"")"),660)</f>
        <v>660</v>
      </c>
      <c r="J462" s="215">
        <v>660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IFERROR(__xludf.DUMMYFUNCTION("IMPORTRANGE(""https://docs.google.com/spreadsheets/d/1QqKyyYR6Q21VydFLVH3TRQUabQu_ym0Zz7PgGX0-kHA/edit?usp=sharing"",""แผน!FO50"")"),660)</f>
        <v>660</v>
      </c>
      <c r="J463" s="215">
        <v>660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IFERROR(__xludf.DUMMYFUNCTION("IMPORTRANGE(""https://docs.google.com/spreadsheets/d/1QqKyyYR6Q21VydFLVH3TRQUabQu_ym0Zz7PgGX0-kHA/edit?usp=sharing"",""แผน!FN50"")"),140)</f>
        <v>140</v>
      </c>
      <c r="J464" s="215">
        <v>140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IFERROR(__xludf.DUMMYFUNCTION("IMPORTRANGE(""https://docs.google.com/spreadsheets/d/1QqKyyYR6Q21VydFLVH3TRQUabQu_ym0Zz7PgGX0-kHA/edit?usp=sharing"",""แผน!FX50"")"),131)</f>
        <v>131</v>
      </c>
      <c r="J465" s="588">
        <f>J485+J489+J492</f>
        <v>138</v>
      </c>
      <c r="K465" s="589">
        <f t="shared" ca="1" si="205"/>
        <v>105.34351145038168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IFERROR(__xludf.DUMMYFUNCTION("IMPORTRANGE(""https://docs.google.com/spreadsheets/d/1QqKyyYR6Q21VydFLVH3TRQUabQu_ym0Zz7PgGX0-kHA/edit?usp=sharing"",""แผน!FW50"")"),1300)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221051</v>
      </c>
      <c r="O467" s="195">
        <f t="shared" ref="O467:O472" ca="1" si="207">IF(L467&gt;0,N467*100/L467,0)</f>
        <v>18.857660073980046</v>
      </c>
      <c r="P467" s="195">
        <f t="shared" ref="P467:P472" ca="1" si="208">IF(M467&gt;0,N467*100/M467,0)</f>
        <v>18.857660073980046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221051</v>
      </c>
      <c r="O469" s="93">
        <f t="shared" ca="1" si="207"/>
        <v>18.857660073980046</v>
      </c>
      <c r="P469" s="93">
        <f t="shared" ca="1" si="208"/>
        <v>18.857660073980046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221051</v>
      </c>
      <c r="O470" s="497">
        <f t="shared" ca="1" si="207"/>
        <v>18.857660073980046</v>
      </c>
      <c r="P470" s="497">
        <f t="shared" ca="1" si="208"/>
        <v>18.857660073980046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IFERROR(__xludf.DUMMYFUNCTION("IMPORTRANGE(""https://docs.google.com/spreadsheets/d/1QqKyyYR6Q21VydFLVH3TRQUabQu_ym0Zz7PgGX0-kHA/edit?usp=sharing"",""แผน!FS50"")"),1172208)</f>
        <v>1172208</v>
      </c>
      <c r="M472" s="93">
        <f ca="1">L472</f>
        <v>1172208</v>
      </c>
      <c r="N472" s="93">
        <f>N473+N474+N475+N476</f>
        <v>221051</v>
      </c>
      <c r="O472" s="93">
        <f t="shared" ca="1" si="207"/>
        <v>18.857660073980046</v>
      </c>
      <c r="P472" s="93">
        <f t="shared" ca="1" si="208"/>
        <v>18.857660073980046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99051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78000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20320+1545+7315+9870+4950</f>
        <v>44000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IFERROR(__xludf.DUMMYFUNCTION("IMPORTRANGE(""https://docs.google.com/spreadsheets/d/1QqKyyYR6Q21VydFLVH3TRQUabQu_ym0Zz7PgGX0-kHA/edit?usp=sharing"",""แผน!GB50"")"),13)</f>
        <v>13</v>
      </c>
      <c r="J489" s="215">
        <v>20</v>
      </c>
      <c r="K489" s="497">
        <f ca="1">IF(I489&gt;0,J489*100/I489,0)</f>
        <v>153.84615384615384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80104</v>
      </c>
      <c r="J543" s="685">
        <f t="shared" si="235"/>
        <v>80105.78</v>
      </c>
      <c r="K543" s="686">
        <f t="shared" ca="1" si="234"/>
        <v>100.00222211125536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493687</v>
      </c>
      <c r="M544" s="155">
        <f t="shared" ca="1" si="236"/>
        <v>493687</v>
      </c>
      <c r="N544" s="155">
        <f t="shared" si="236"/>
        <v>439650.29</v>
      </c>
      <c r="O544" s="155">
        <f t="shared" ref="O544:O549" ca="1" si="237">IF(L544&gt;0,N544*100/L544,0)</f>
        <v>89.054459606997952</v>
      </c>
      <c r="P544" s="155">
        <f t="shared" ref="P544:P549" ca="1" si="238">IF(M544&gt;0,N544*100/M544,0)</f>
        <v>89.054459606997952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493687</v>
      </c>
      <c r="M546" s="93">
        <f t="shared" ca="1" si="240"/>
        <v>493687</v>
      </c>
      <c r="N546" s="93">
        <f t="shared" si="240"/>
        <v>439650.29</v>
      </c>
      <c r="O546" s="93">
        <f t="shared" ca="1" si="237"/>
        <v>89.054459606997952</v>
      </c>
      <c r="P546" s="93">
        <f t="shared" ca="1" si="238"/>
        <v>89.054459606997952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493687</v>
      </c>
      <c r="M547" s="497">
        <f t="shared" ca="1" si="241"/>
        <v>493687</v>
      </c>
      <c r="N547" s="497">
        <f t="shared" si="241"/>
        <v>439650.29</v>
      </c>
      <c r="O547" s="497">
        <f t="shared" ca="1" si="237"/>
        <v>89.054459606997952</v>
      </c>
      <c r="P547" s="497">
        <f t="shared" ca="1" si="238"/>
        <v>89.054459606997952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IFERROR(__xludf.DUMMYFUNCTION("IMPORTRANGE(""https://docs.google.com/spreadsheets/d/1QqKyyYR6Q21VydFLVH3TRQUabQu_ym0Zz7PgGX0-kHA/edit?usp=sharing"",""แผน!HB50"")"),493687)</f>
        <v>493687</v>
      </c>
      <c r="M549" s="93">
        <f ca="1">L549</f>
        <v>493687</v>
      </c>
      <c r="N549" s="93">
        <f>N550+N551+N552+N553+N554</f>
        <v>439650.29</v>
      </c>
      <c r="O549" s="93">
        <f t="shared" ca="1" si="237"/>
        <v>89.054459606997952</v>
      </c>
      <c r="P549" s="93">
        <f t="shared" ca="1" si="238"/>
        <v>89.054459606997952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77161.289999999994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15750+660+1260+70160+25151+209360+17805+19061+500+2782</f>
        <v>362489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80104</v>
      </c>
      <c r="J559" s="706">
        <f t="shared" si="245"/>
        <v>80105.78</v>
      </c>
      <c r="K559" s="675">
        <f t="shared" ref="K559:K561" ca="1" si="246">IF(I559&gt;0,J559*100/I559,0)</f>
        <v>100.00222211125536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IFERROR(__xludf.DUMMYFUNCTION("IMPORTRANGE(""https://docs.google.com/spreadsheets/d/1QqKyyYR6Q21VydFLVH3TRQUabQu_ym0Zz7PgGX0-kHA/edit?usp=sharing"",""แผน!HH50"")"),80104)</f>
        <v>80104</v>
      </c>
      <c r="J560" s="193">
        <f t="shared" ref="J560:J561" si="247">J562+J564+J566</f>
        <v>80104.92</v>
      </c>
      <c r="K560" s="411">
        <f t="shared" ca="1" si="246"/>
        <v>100.00114850694098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IFERROR(__xludf.DUMMYFUNCTION("IMPORTRANGE(""https://docs.google.com/spreadsheets/d/1QqKyyYR6Q21VydFLVH3TRQUabQu_ym0Zz7PgGX0-kHA/edit?usp=sharing"",""แผน!HG50"")"),6736)</f>
        <v>6736</v>
      </c>
      <c r="J561" s="193">
        <f t="shared" si="247"/>
        <v>6736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60622.07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5276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15846.72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1176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3636.13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IFERROR(__xludf.DUMMYFUNCTION("IMPORTRANGE(""https://docs.google.com/spreadsheets/d/1QqKyyYR6Q21VydFLVH3TRQUabQu_ym0Zz7PgGX0-kHA/edit?usp=sharing"",""แผน!HH50"")"),80104)</f>
        <v>80104</v>
      </c>
      <c r="J568" s="679">
        <f t="shared" ref="J568:J569" si="248">J570+J572+J574</f>
        <v>80104.92</v>
      </c>
      <c r="K568" s="411">
        <f t="shared" ref="K568:K569" ca="1" si="249">IF(I568&gt;0,J568*100/I568,0)</f>
        <v>100.00114850694098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IFERROR(__xludf.DUMMYFUNCTION("IMPORTRANGE(""https://docs.google.com/spreadsheets/d/1QqKyyYR6Q21VydFLVH3TRQUabQu_ym0Zz7PgGX0-kHA/edit?usp=sharing"",""แผน!HG50"")"),6736)</f>
        <v>6736</v>
      </c>
      <c r="J569" s="679">
        <f t="shared" si="248"/>
        <v>6736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60622.07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5276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15846.72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1176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3636.13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IFERROR(__xludf.DUMMYFUNCTION("IMPORTRANGE(""https://docs.google.com/spreadsheets/d/1QqKyyYR6Q21VydFLVH3TRQUabQu_ym0Zz7PgGX0-kHA/edit?usp=sharing"",""แผน!HH50"")"),80104)</f>
        <v>80104</v>
      </c>
      <c r="J576" s="679">
        <f t="shared" ref="J576:J577" si="250">J578+J580+J582+J588+J590</f>
        <v>80105.78</v>
      </c>
      <c r="K576" s="411">
        <f t="shared" ref="K576:K577" ca="1" si="251">IF(I576&gt;0,J576*100/I576,0)</f>
        <v>100.00222211125536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IFERROR(__xludf.DUMMYFUNCTION("IMPORTRANGE(""https://docs.google.com/spreadsheets/d/1QqKyyYR6Q21VydFLVH3TRQUabQu_ym0Zz7PgGX0-kHA/edit?usp=sharing"",""แผน!HG50"")"),6736)</f>
        <v>6736</v>
      </c>
      <c r="J577" s="679">
        <f t="shared" si="250"/>
        <v>6736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60622.07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5276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15846.72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1176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3636.99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284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3635.99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283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1116.18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IFERROR(__xludf.DUMMYFUNCTION("IMPORTRANGE(""https://docs.google.com/spreadsheets/d/1QqKyyYR6Q21VydFLVH3TRQUabQu_ym0Zz7PgGX0-kHA/edit?usp=sharing"",""แผน!HJ50"")"),1116.18)</f>
        <v>1116.18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IFERROR(__xludf.DUMMYFUNCTION("IMPORTRANGE(""https://docs.google.com/spreadsheets/d/1QqKyyYR6Q21VydFLVH3TRQUabQu_ym0Zz7PgGX0-kHA/edit?usp=sharing"",""แผน!HI50"")"),66)</f>
        <v>66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IFERROR(__xludf.DUMMYFUNCTION("IMPORTRANGE(""https://docs.google.com/spreadsheets/d/1QqKyyYR6Q21VydFLVH3TRQUabQu_ym0Zz7PgGX0-kHA/edit?usp=sharing"",""แผน!HL50"")"),22)</f>
        <v>22</v>
      </c>
      <c r="J620" s="726">
        <f t="shared" ref="J620:J621" si="260">J622+J624+J626</f>
        <v>22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IFERROR(__xludf.DUMMYFUNCTION("IMPORTRANGE(""https://docs.google.com/spreadsheets/d/1QqKyyYR6Q21VydFLVH3TRQUabQu_ym0Zz7PgGX0-kHA/edit?usp=sharing"",""แผน!HK50"")"),1)</f>
        <v>1</v>
      </c>
      <c r="J621" s="726">
        <f t="shared" si="260"/>
        <v>1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22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812</v>
      </c>
      <c r="J628" s="739">
        <f t="shared" ca="1" si="262"/>
        <v>589</v>
      </c>
      <c r="K628" s="740">
        <f ca="1">IF(I628&gt;0,J628*100/I628,0)</f>
        <v>72.536945812807886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1025710</v>
      </c>
      <c r="M629" s="195">
        <f t="shared" ca="1" si="263"/>
        <v>1025710</v>
      </c>
      <c r="N629" s="195">
        <f t="shared" si="263"/>
        <v>691620.76</v>
      </c>
      <c r="O629" s="195">
        <f t="shared" ref="O629:O634" ca="1" si="264">IF(L629&gt;0,N629*100/L629,0)</f>
        <v>67.428489534078835</v>
      </c>
      <c r="P629" s="195">
        <f t="shared" ref="P629:P634" ca="1" si="265">IF(M629&gt;0,N629*100/M629,0)</f>
        <v>67.428489534078835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1025710</v>
      </c>
      <c r="M631" s="93">
        <f t="shared" ca="1" si="266"/>
        <v>1025710</v>
      </c>
      <c r="N631" s="93">
        <f t="shared" si="266"/>
        <v>691620.76</v>
      </c>
      <c r="O631" s="93">
        <f t="shared" ca="1" si="264"/>
        <v>67.428489534078835</v>
      </c>
      <c r="P631" s="93">
        <f t="shared" ca="1" si="265"/>
        <v>67.428489534078835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1025710</v>
      </c>
      <c r="M632" s="497">
        <f t="shared" ca="1" si="267"/>
        <v>1025710</v>
      </c>
      <c r="N632" s="497">
        <f t="shared" si="267"/>
        <v>691620.76</v>
      </c>
      <c r="O632" s="497">
        <f t="shared" ca="1" si="264"/>
        <v>67.428489534078835</v>
      </c>
      <c r="P632" s="497">
        <f t="shared" ca="1" si="265"/>
        <v>67.428489534078835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IFERROR(__xludf.DUMMYFUNCTION("IMPORTRANGE(""https://docs.google.com/spreadsheets/d/1QqKyyYR6Q21VydFLVH3TRQUabQu_ym0Zz7PgGX0-kHA/edit?usp=sharing"",""แผน!HN50"")"),1025710)</f>
        <v>1025710</v>
      </c>
      <c r="M634" s="93">
        <f ca="1">L634</f>
        <v>1025710</v>
      </c>
      <c r="N634" s="93">
        <f>N635+N636+N637+N638</f>
        <v>691620.76</v>
      </c>
      <c r="O634" s="93">
        <f t="shared" ca="1" si="264"/>
        <v>67.428489534078835</v>
      </c>
      <c r="P634" s="93">
        <f t="shared" ca="1" si="265"/>
        <v>67.428489534078835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154700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31910+36500+14127.5+32270+303600+50120+51243.26+17150</f>
        <v>536920.76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IFERROR(__xludf.DUMMYFUNCTION("IMPORTRANGE(""https://docs.google.com/spreadsheets/d/1QqKyyYR6Q21VydFLVH3TRQUabQu_ym0Zz7PgGX0-kHA/edit?usp=sharing"",""แผน!HR50"")"),4)</f>
        <v>4</v>
      </c>
      <c r="J643" s="215">
        <v>4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IFERROR(__xludf.DUMMYFUNCTION("IMPORTRANGE(""https://docs.google.com/spreadsheets/d/1QqKyyYR6Q21VydFLVH3TRQUabQu_ym0Zz7PgGX0-kHA/edit?usp=sharing"",""แผน!HR50"")"),4)</f>
        <v>4</v>
      </c>
      <c r="J644" s="215">
        <v>4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IFERROR(__xludf.DUMMYFUNCTION("IMPORTRANGE(""https://docs.google.com/spreadsheets/d/1XWAQStnk-4SwqDmLtmXYiTMKHgktTP8We1SCoS47DrQ/edit?usp=sharing"",""จัดที่ดิน!AS50"")"),206)</f>
        <v>206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IFERROR(__xludf.DUMMYFUNCTION("IMPORTRANGE(""https://docs.google.com/spreadsheets/d/1XWAQStnk-4SwqDmLtmXYiTMKHgktTP8We1SCoS47DrQ/edit?usp=sharing"",""จัดที่ดิน!AT50"")"),102.08)</f>
        <v>102.08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IFERROR(__xludf.DUMMYFUNCTION("IMPORTRANGE(""https://docs.google.com/spreadsheets/d/1QqKyyYR6Q21VydFLVH3TRQUabQu_ym0Zz7PgGX0-kHA/edit?usp=sharing"",""แผน!HS50"")"),812)</f>
        <v>812</v>
      </c>
      <c r="J647" s="270">
        <f ca="1">IFERROR(__xludf.DUMMYFUNCTION("IMPORTRANGE(""https://docs.google.com/spreadsheets/d/1XWAQStnk-4SwqDmLtmXYiTMKHgktTP8We1SCoS47DrQ/edit?usp=sharing"",""จัดที่ดิน!AU50"")"),407)</f>
        <v>407</v>
      </c>
      <c r="K647" s="163">
        <f t="shared" ca="1" si="271"/>
        <v>50.123152709359609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IFERROR(__xludf.DUMMYFUNCTION("IMPORTRANGE(""https://docs.google.com/spreadsheets/d/1XWAQStnk-4SwqDmLtmXYiTMKHgktTP8We1SCoS47DrQ/edit?usp=sharing"",""จัดที่ดิน!AV50"")"),212.69)</f>
        <v>212.69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IFERROR(__xludf.DUMMYFUNCTION("IMPORTRANGE(""https://docs.google.com/spreadsheets/d/1QqKyyYR6Q21VydFLVH3TRQUabQu_ym0Zz7PgGX0-kHA/edit?usp=sharing"",""แผน!HS50"")"),812)</f>
        <v>812</v>
      </c>
      <c r="J649" s="270">
        <f ca="1">IFERROR(__xludf.DUMMYFUNCTION("IMPORTRANGE(""https://docs.google.com/spreadsheets/d/1XWAQStnk-4SwqDmLtmXYiTMKHgktTP8We1SCoS47DrQ/edit?usp=sharing"",""จัดที่ดิน!AW50"")"),589)</f>
        <v>589</v>
      </c>
      <c r="K649" s="163">
        <f t="shared" ca="1" si="271"/>
        <v>72.536945812807886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IFERROR(__xludf.DUMMYFUNCTION("IMPORTRANGE(""https://docs.google.com/spreadsheets/d/1XWAQStnk-4SwqDmLtmXYiTMKHgktTP8We1SCoS47DrQ/edit?usp=sharing"",""จัดที่ดิน!AX50"")"),310.3)</f>
        <v>310.3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IFERROR(__xludf.DUMMYFUNCTION("IMPORTRANGE(""https://docs.google.com/spreadsheets/d/1QqKyyYR6Q21VydFLVH3TRQUabQu_ym0Zz7PgGX0-kHA/edit?usp=sharing"",""แผน!HS50"")"),812)</f>
        <v>812</v>
      </c>
      <c r="J651" s="270">
        <f ca="1">IFERROR(__xludf.DUMMYFUNCTION("IMPORTRANGE(""https://docs.google.com/spreadsheets/d/1XWAQStnk-4SwqDmLtmXYiTMKHgktTP8We1SCoS47DrQ/edit?usp=sharing"",""จัดที่ดิน!AY50"")"),589)</f>
        <v>589</v>
      </c>
      <c r="K651" s="163">
        <f t="shared" ca="1" si="271"/>
        <v>72.536945812807886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IFERROR(__xludf.DUMMYFUNCTION("IMPORTRANGE(""https://docs.google.com/spreadsheets/d/1XWAQStnk-4SwqDmLtmXYiTMKHgktTP8We1SCoS47DrQ/edit?usp=sharing"",""จัดที่ดิน!AZ50"")"),310.2975)</f>
        <v>310.29750000000001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153880</v>
      </c>
      <c r="M685" s="195">
        <f t="shared" ca="1" si="282"/>
        <v>153880</v>
      </c>
      <c r="N685" s="195">
        <f t="shared" si="282"/>
        <v>62985</v>
      </c>
      <c r="O685" s="195">
        <f t="shared" ref="O685:O688" ca="1" si="283">IF(L685&gt;0,N685*100/L685,0)</f>
        <v>40.931245126072263</v>
      </c>
      <c r="P685" s="195">
        <f t="shared" ref="P685:P688" ca="1" si="284">IF(M685&gt;0,N685*100/M685,0)</f>
        <v>40.931245126072263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153880</v>
      </c>
      <c r="M687" s="93">
        <f t="shared" ca="1" si="285"/>
        <v>153880</v>
      </c>
      <c r="N687" s="93">
        <f t="shared" si="285"/>
        <v>62985</v>
      </c>
      <c r="O687" s="93">
        <f t="shared" ca="1" si="283"/>
        <v>40.931245126072263</v>
      </c>
      <c r="P687" s="93">
        <f t="shared" ca="1" si="284"/>
        <v>40.931245126072263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153880</v>
      </c>
      <c r="M688" s="497">
        <f t="shared" ca="1" si="286"/>
        <v>153880</v>
      </c>
      <c r="N688" s="497">
        <f t="shared" si="286"/>
        <v>62985</v>
      </c>
      <c r="O688" s="497">
        <f t="shared" ca="1" si="283"/>
        <v>40.931245126072263</v>
      </c>
      <c r="P688" s="497">
        <f t="shared" ca="1" si="284"/>
        <v>40.931245126072263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IFERROR(__xludf.DUMMYFUNCTION("IMPORTRANGE(""https://docs.google.com/spreadsheets/d/1QqKyyYR6Q21VydFLVH3TRQUabQu_ym0Zz7PgGX0-kHA/edit?usp=sharing"",""แผน!HW50"")"),153880)</f>
        <v>153880</v>
      </c>
      <c r="M690" s="93">
        <f ca="1">L690</f>
        <v>153880</v>
      </c>
      <c r="N690" s="93">
        <f>N691+N692+N693+N694</f>
        <v>62985</v>
      </c>
      <c r="O690" s="93">
        <f ca="1">IF(L690&gt;0,N690*100/L690,0)</f>
        <v>40.931245126072263</v>
      </c>
      <c r="P690" s="93">
        <f ca="1">IF(M690&gt;0,N690*100/M690,0)</f>
        <v>40.931245126072263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f>50670+12315</f>
        <v>62985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IFERROR(__xludf.DUMMYFUNCTION("IMPORTRANGE(""https://docs.google.com/spreadsheets/d/1QqKyyYR6Q21VydFLVH3TRQUabQu_ym0Zz7PgGX0-kHA/edit?usp=sharing"",""แผน!IC50"")"),663)</f>
        <v>663</v>
      </c>
      <c r="J699" s="270">
        <f ca="1">IFERROR(__xludf.DUMMYFUNCTION("IMPORTRANGE(""https://docs.google.com/spreadsheets/d/1XWAQStnk-4SwqDmLtmXYiTMKHgktTP8We1SCoS47DrQ/edit?usp=sharing"",""จัดที่ดิน!BB50"")"),362.21)</f>
        <v>362.21</v>
      </c>
      <c r="K699" s="497">
        <f t="shared" ref="K699:K701" ca="1" si="290">IF(I699&gt;0,J699*100/I699,0)</f>
        <v>54.631975867269986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IFERROR(__xludf.DUMMYFUNCTION("IMPORTRANGE(""https://docs.google.com/spreadsheets/d/1QqKyyYR6Q21VydFLVH3TRQUabQu_ym0Zz7PgGX0-kHA/edit?usp=sharing"",""แผน!ID50"")"),62)</f>
        <v>62</v>
      </c>
      <c r="J700" s="270">
        <f ca="1">IFERROR(__xludf.DUMMYFUNCTION("IMPORTRANGE(""https://docs.google.com/spreadsheets/d/1XWAQStnk-4SwqDmLtmXYiTMKHgktTP8We1SCoS47DrQ/edit?usp=sharing"",""จัดที่ดิน!BD50"")"),26)</f>
        <v>26</v>
      </c>
      <c r="K700" s="497">
        <f t="shared" ca="1" si="290"/>
        <v>41.935483870967744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IFERROR(__xludf.DUMMYFUNCTION("IMPORTRANGE(""https://docs.google.com/spreadsheets/d/1QqKyyYR6Q21VydFLVH3TRQUabQu_ym0Zz7PgGX0-kHA/edit?usp=sharing"",""แผน!IE50"")"),342)</f>
        <v>342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IFERROR(__xludf.DUMMYFUNCTION("IMPORTRANGE(""https://docs.google.com/spreadsheets/d/1QqKyyYR6Q21VydFLVH3TRQUabQu_ym0Zz7PgGX0-kHA/edit?usp=sharing"",""แผน!IG50"")"),342)</f>
        <v>342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IFERROR(__xludf.DUMMYFUNCTION("IMPORTRANGE(""https://docs.google.com/spreadsheets/d/1QqKyyYR6Q21VydFLVH3TRQUabQu_ym0Zz7PgGX0-kHA/edit?usp=sharing"",""แผน!II50"")"),44)</f>
        <v>44</v>
      </c>
      <c r="J720" s="270">
        <f ca="1">IFERROR(__xludf.DUMMYFUNCTION("IMPORTRANGE(""https://docs.google.com/spreadsheets/d/1XWAQStnk-4SwqDmLtmXYiTMKHgktTP8We1SCoS47DrQ/edit?usp=sharing"",""จัดที่ดิน!BH50"")"),0)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IFERROR(__xludf.DUMMYFUNCTION("IMPORTRANGE(""https://docs.google.com/spreadsheets/d/1QqKyyYR6Q21VydFLVH3TRQUabQu_ym0Zz7PgGX0-kHA/edit?usp=sharing"",""แผน!IJ50"")"),39)</f>
        <v>39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IFERROR(__xludf.DUMMYFUNCTION("IMPORTRANGE(""https://docs.google.com/spreadsheets/d/1QqKyyYR6Q21VydFLVH3TRQUabQu_ym0Zz7PgGX0-kHA/edit?usp=sharing"",""แผน!IK50"")"),410)</f>
        <v>410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IFERROR(__xludf.DUMMYFUNCTION("IMPORTRANGE(""https://docs.google.com/spreadsheets/d/1QqKyyYR6Q21VydFLVH3TRQUabQu_ym0Zz7PgGX0-kHA/edit?usp=sharing"",""แผน!IL50"")"),39)</f>
        <v>39</v>
      </c>
      <c r="J723" s="270">
        <f ca="1">IFERROR(__xludf.DUMMYFUNCTION("IMPORTRANGE(""https://docs.google.com/spreadsheets/d/1XWAQStnk-4SwqDmLtmXYiTMKHgktTP8We1SCoS47DrQ/edit?usp=sharing"",""จัดที่ดิน!BM50"")"),0)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IFERROR(__xludf.DUMMYFUNCTION("IMPORTRANGE(""https://docs.google.com/spreadsheets/d/1QqKyyYR6Q21VydFLVH3TRQUabQu_ym0Zz7PgGX0-kHA/edit?usp=sharing"",""แผน!IM50"")"),410)</f>
        <v>410</v>
      </c>
      <c r="J725" s="270">
        <f ca="1">IFERROR(__xludf.DUMMYFUNCTION("IMPORTRANGE(""https://docs.google.com/spreadsheets/d/1XWAQStnk-4SwqDmLtmXYiTMKHgktTP8We1SCoS47DrQ/edit?usp=sharing"",""จัดที่ดิน!BO50"")"),0)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IFERROR(__xludf.DUMMYFUNCTION("IMPORTRANGE(""https://docs.google.com/spreadsheets/d/1QqKyyYR6Q21VydFLVH3TRQUabQu_ym0Zz7PgGX0-kHA/edit?usp=sharing"",""แผน!IN50"")"),0)</f>
        <v>0</v>
      </c>
      <c r="J726" s="270">
        <f ca="1">IFERROR(__xludf.DUMMYFUNCTION("IMPORTRANGE(""https://docs.google.com/spreadsheets/d/1XWAQStnk-4SwqDmLtmXYiTMKHgktTP8We1SCoS47DrQ/edit?usp=sharing"",""จัดที่ดิน!BR50"")"),0)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IFERROR(__xludf.DUMMYFUNCTION("IMPORTRANGE(""https://docs.google.com/spreadsheets/d/1QqKyyYR6Q21VydFLVH3TRQUabQu_ym0Zz7PgGX0-kHA/edit?usp=sharing"",""แผน!IO50"")"),0)</f>
        <v>0</v>
      </c>
      <c r="J728" s="270">
        <f ca="1">IFERROR(__xludf.DUMMYFUNCTION("IMPORTRANGE(""https://docs.google.com/spreadsheets/d/1XWAQStnk-4SwqDmLtmXYiTMKHgktTP8We1SCoS47DrQ/edit?usp=sharing"",""จัดที่ดิน!BT50"")"),0)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IFERROR(__xludf.DUMMYFUNCTION("IMPORTRANGE(""https://docs.google.com/spreadsheets/d/1QqKyyYR6Q21VydFLVH3TRQUabQu_ym0Zz7PgGX0-kHA/edit?usp=sharing"",""แผน!IP50"")"),663)</f>
        <v>663</v>
      </c>
      <c r="J729" s="679">
        <f>J732+J735</f>
        <v>362</v>
      </c>
      <c r="K729" s="195">
        <f t="shared" ca="1" si="293"/>
        <v>54.600301659125186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34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34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362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IFERROR(__xludf.DUMMYFUNCTION("IMPORTRANGE(""https://docs.google.com/spreadsheets/d/1QqKyyYR6Q21VydFLVH3TRQUabQu_ym0Zz7PgGX0-kHA/edit?usp=sharing"",""แผน!JJ50"")"),0)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IFERROR(__xludf.DUMMYFUNCTION("IMPORTRANGE(""https://docs.google.com/spreadsheets/d/1QqKyyYR6Q21VydFLVH3TRQUabQu_ym0Zz7PgGX0-kHA/edit?usp=sharing"",""แผน!JN50"")"),0)</f>
        <v>0</v>
      </c>
      <c r="J800" s="184">
        <f ca="1">IFERROR(__xludf.DUMMYFUNCTION("IMPORTRANGE(""https://docs.google.com/spreadsheets/d/1MaWodYyGHDf7siQLGxnXhG4mBNTNIuy296niS2xXulU/edit?usp=sharing"",""RTK!H50"")"),0)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270">
        <f ca="1">IFERROR(__xludf.DUMMYFUNCTION("IMPORTRANGE(""https://docs.google.com/spreadsheets/d/19vJNZY_5yjcGF2XGBMNZRCAIB0Kwfpjp8YEOfu-bneM/edit?usp=sharing"",""งานกองทุน!F50"")"),2555644.14)</f>
        <v>2555644.14</v>
      </c>
      <c r="K821" s="497">
        <f t="shared" ref="K821:K828" ca="1" si="335">IF(I821&gt;0,J821*100/I821,0)</f>
        <v>54.177265757424927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IFERROR(__xludf.DUMMYFUNCTION("IMPORTRANGE(""https://docs.google.com/spreadsheets/d/19vJNZY_5yjcGF2XGBMNZRCAIB0Kwfpjp8YEOfu-bneM/edit?usp=sharing"",""งานกองทุน!C50"")"),344)</f>
        <v>344</v>
      </c>
      <c r="J822" s="270">
        <f ca="1">IFERROR(__xludf.DUMMYFUNCTION("IMPORTRANGE(""https://docs.google.com/spreadsheets/d/19vJNZY_5yjcGF2XGBMNZRCAIB0Kwfpjp8YEOfu-bneM/edit?usp=sharing"",""งานกองทุน!E50"")"),172)</f>
        <v>172</v>
      </c>
      <c r="K822" s="497">
        <f t="shared" ca="1" si="335"/>
        <v>50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270">
        <f ca="1">IFERROR(__xludf.DUMMYFUNCTION("IMPORTRANGE(""https://docs.google.com/spreadsheets/d/19vJNZY_5yjcGF2XGBMNZRCAIB0Kwfpjp8YEOfu-bneM/edit?usp=sharing"",""งานกองทุน!K50"")"),572134.51)</f>
        <v>572134.51</v>
      </c>
      <c r="K823" s="497">
        <f t="shared" ca="1" si="335"/>
        <v>23.366622152008873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IFERROR(__xludf.DUMMYFUNCTION("IMPORTRANGE(""https://docs.google.com/spreadsheets/d/19vJNZY_5yjcGF2XGBMNZRCAIB0Kwfpjp8YEOfu-bneM/edit?usp=sharing"",""งานกองทุน!H50"")"),135)</f>
        <v>135</v>
      </c>
      <c r="J824" s="270">
        <f ca="1">IFERROR(__xludf.DUMMYFUNCTION("IMPORTRANGE(""https://docs.google.com/spreadsheets/d/19vJNZY_5yjcGF2XGBMNZRCAIB0Kwfpjp8YEOfu-bneM/edit?usp=sharing"",""งานกองทุน!J50"")"),37)</f>
        <v>37</v>
      </c>
      <c r="K824" s="497">
        <f t="shared" ca="1" si="335"/>
        <v>27.407407407407408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IFERROR(__xludf.DUMMYFUNCTION("IMPORTRANGE(""https://docs.google.com/spreadsheets/d/19vJNZY_5yjcGF2XGBMNZRCAIB0Kwfpjp8YEOfu-bneM/edit?usp=sharing"",""งานกองทุน!N50"")"),323073.26)</f>
        <v>323073.26</v>
      </c>
      <c r="J825" s="270">
        <f ca="1">IFERROR(__xludf.DUMMYFUNCTION("IMPORTRANGE(""https://docs.google.com/spreadsheets/d/19vJNZY_5yjcGF2XGBMNZRCAIB0Kwfpjp8YEOfu-bneM/edit?usp=sharing"",""งานกองทุน!P50"")"),62465.05)</f>
        <v>62465.05</v>
      </c>
      <c r="K825" s="497">
        <f t="shared" ca="1" si="335"/>
        <v>19.334639456078786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IFERROR(__xludf.DUMMYFUNCTION("IMPORTRANGE(""https://docs.google.com/spreadsheets/d/19vJNZY_5yjcGF2XGBMNZRCAIB0Kwfpjp8YEOfu-bneM/edit?usp=sharing"",""งานกองทุน!M50"")"),16)</f>
        <v>16</v>
      </c>
      <c r="J826" s="270">
        <f ca="1">IFERROR(__xludf.DUMMYFUNCTION("IMPORTRANGE(""https://docs.google.com/spreadsheets/d/19vJNZY_5yjcGF2XGBMNZRCAIB0Kwfpjp8YEOfu-bneM/edit?usp=sharing"",""งานกองทุน!O50"")"),28)</f>
        <v>28</v>
      </c>
      <c r="K826" s="497">
        <f t="shared" ca="1" si="335"/>
        <v>175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IFERROR(__xludf.DUMMYFUNCTION("IMPORTRANGE(""https://docs.google.com/spreadsheets/d/19vJNZY_5yjcGF2XGBMNZRCAIB0Kwfpjp8YEOfu-bneM/edit?usp=sharing"",""งานกองทุน!S50"")"),6100000)</f>
        <v>6100000</v>
      </c>
      <c r="J827" s="270">
        <f ca="1">IFERROR(__xludf.DUMMYFUNCTION("IMPORTRANGE(""https://docs.google.com/spreadsheets/d/19vJNZY_5yjcGF2XGBMNZRCAIB0Kwfpjp8YEOfu-bneM/edit?usp=sharing"",""งานกองทุน!U50"")"),2250000)</f>
        <v>2250000</v>
      </c>
      <c r="K827" s="497">
        <f t="shared" ca="1" si="335"/>
        <v>36.885245901639344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IFERROR(__xludf.DUMMYFUNCTION("IMPORTRANGE(""https://docs.google.com/spreadsheets/d/19vJNZY_5yjcGF2XGBMNZRCAIB0Kwfpjp8YEOfu-bneM/edit?usp=sharing"",""งานกองทุน!R50"")"),244)</f>
        <v>244</v>
      </c>
      <c r="J828" s="504">
        <f ca="1">IFERROR(__xludf.DUMMYFUNCTION("IMPORTRANGE(""https://docs.google.com/spreadsheets/d/19vJNZY_5yjcGF2XGBMNZRCAIB0Kwfpjp8YEOfu-bneM/edit?usp=sharing"",""งานกองทุน!T50"")"),81)</f>
        <v>81</v>
      </c>
      <c r="K828" s="505">
        <f t="shared" ca="1" si="335"/>
        <v>33.196721311475407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E75A5-DC57-4049-91D0-520E498459C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9554361</v>
      </c>
      <c r="M8" s="22">
        <f t="shared" ca="1" si="0"/>
        <v>8566129</v>
      </c>
      <c r="N8" s="22">
        <f t="shared" ca="1" si="0"/>
        <v>6038403.5899999999</v>
      </c>
      <c r="O8" s="22">
        <f t="shared" ref="O8:O16" ca="1" si="1">IF(L8&gt;0,N8*100/L8,0)</f>
        <v>63.200496506255099</v>
      </c>
      <c r="P8" s="22">
        <f t="shared" ref="P8:P16" ca="1" si="2">IF(M8&gt;0,N8*100/M8,0)</f>
        <v>70.491625680631245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9554361</v>
      </c>
      <c r="M10" s="30">
        <f t="shared" ca="1" si="3"/>
        <v>8566129</v>
      </c>
      <c r="N10" s="30">
        <f t="shared" ca="1" si="3"/>
        <v>6038403.5899999999</v>
      </c>
      <c r="O10" s="30">
        <f t="shared" ca="1" si="1"/>
        <v>63.200496506255099</v>
      </c>
      <c r="P10" s="30">
        <f t="shared" ca="1" si="2"/>
        <v>70.491625680631245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8579361</v>
      </c>
      <c r="M11" s="497">
        <f t="shared" ca="1" si="4"/>
        <v>7622137</v>
      </c>
      <c r="N11" s="497">
        <f t="shared" ca="1" si="4"/>
        <v>5094411.59</v>
      </c>
      <c r="O11" s="497">
        <f t="shared" ca="1" si="1"/>
        <v>59.379848802259282</v>
      </c>
      <c r="P11" s="497">
        <f t="shared" ca="1" si="2"/>
        <v>66.837050947785372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8579361</v>
      </c>
      <c r="M13" s="93">
        <f t="shared" ca="1" si="5"/>
        <v>7622137</v>
      </c>
      <c r="N13" s="93">
        <f t="shared" ca="1" si="5"/>
        <v>5094411.59</v>
      </c>
      <c r="O13" s="93">
        <f t="shared" ca="1" si="1"/>
        <v>59.379848802259282</v>
      </c>
      <c r="P13" s="93">
        <f t="shared" ca="1" si="2"/>
        <v>66.837050947785372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975000</v>
      </c>
      <c r="M14" s="497">
        <f t="shared" ca="1" si="6"/>
        <v>943992</v>
      </c>
      <c r="N14" s="497">
        <f t="shared" ca="1" si="6"/>
        <v>943992</v>
      </c>
      <c r="O14" s="497">
        <f t="shared" ca="1" si="1"/>
        <v>96.819692307692307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975000</v>
      </c>
      <c r="M16" s="52">
        <f t="shared" ca="1" si="7"/>
        <v>943992</v>
      </c>
      <c r="N16" s="52">
        <f t="shared" ca="1" si="7"/>
        <v>943992</v>
      </c>
      <c r="O16" s="52">
        <f t="shared" ca="1" si="1"/>
        <v>96.819692307692307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6275519</v>
      </c>
      <c r="M18" s="22">
        <f t="shared" ca="1" si="8"/>
        <v>5287287</v>
      </c>
      <c r="N18" s="22">
        <f t="shared" ca="1" si="8"/>
        <v>4260776.03</v>
      </c>
      <c r="O18" s="22">
        <f t="shared" ref="O18:O26" ca="1" si="9">IF(L18&gt;0,N18*100/L18,0)</f>
        <v>67.895197672096927</v>
      </c>
      <c r="P18" s="22">
        <f t="shared" ref="P18:P26" ca="1" si="10">IF(M18&gt;0,N18*100/M18,0)</f>
        <v>80.585298849863833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6275519</v>
      </c>
      <c r="M20" s="30">
        <f t="shared" ca="1" si="11"/>
        <v>5287287</v>
      </c>
      <c r="N20" s="30">
        <f t="shared" ca="1" si="11"/>
        <v>4260776.03</v>
      </c>
      <c r="O20" s="30">
        <f t="shared" ca="1" si="9"/>
        <v>67.895197672096927</v>
      </c>
      <c r="P20" s="30">
        <f t="shared" ca="1" si="10"/>
        <v>80.585298849863833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5300519</v>
      </c>
      <c r="M21" s="497">
        <f t="shared" ca="1" si="12"/>
        <v>4343295</v>
      </c>
      <c r="N21" s="497">
        <f t="shared" ca="1" si="12"/>
        <v>3316784.0300000003</v>
      </c>
      <c r="O21" s="497">
        <f t="shared" ca="1" si="9"/>
        <v>62.574703156426757</v>
      </c>
      <c r="P21" s="497">
        <f t="shared" ca="1" si="10"/>
        <v>76.365617117879395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5300519</v>
      </c>
      <c r="M23" s="93">
        <f t="shared" ca="1" si="13"/>
        <v>4343295</v>
      </c>
      <c r="N23" s="93">
        <f t="shared" ca="1" si="13"/>
        <v>3316784.0300000003</v>
      </c>
      <c r="O23" s="93">
        <f t="shared" ca="1" si="9"/>
        <v>62.574703156426757</v>
      </c>
      <c r="P23" s="93">
        <f t="shared" ca="1" si="10"/>
        <v>76.365617117879395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975000</v>
      </c>
      <c r="M24" s="497">
        <f t="shared" ca="1" si="14"/>
        <v>943992</v>
      </c>
      <c r="N24" s="497">
        <f t="shared" ca="1" si="14"/>
        <v>943992</v>
      </c>
      <c r="O24" s="497">
        <f t="shared" ca="1" si="9"/>
        <v>96.819692307692307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975000</v>
      </c>
      <c r="M26" s="52">
        <f t="shared" ca="1" si="15"/>
        <v>943992</v>
      </c>
      <c r="N26" s="52">
        <f t="shared" ca="1" si="15"/>
        <v>943992</v>
      </c>
      <c r="O26" s="52">
        <f t="shared" ca="1" si="9"/>
        <v>96.819692307692307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3278842</v>
      </c>
      <c r="M28" s="22">
        <f t="shared" ca="1" si="16"/>
        <v>3278842</v>
      </c>
      <c r="N28" s="22">
        <f t="shared" si="16"/>
        <v>1777627.56</v>
      </c>
      <c r="O28" s="22">
        <f t="shared" ref="O28:O37" ca="1" si="17">IF(L28&gt;0,N28*100/L28,0)</f>
        <v>54.215102771039291</v>
      </c>
      <c r="P28" s="22">
        <f t="shared" ref="P28:P37" ca="1" si="18">IF(M28&gt;0,N28*100/M28,0)</f>
        <v>54.215102771039291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3278842</v>
      </c>
      <c r="M30" s="30">
        <f t="shared" ca="1" si="19"/>
        <v>3278842</v>
      </c>
      <c r="N30" s="30">
        <f t="shared" si="19"/>
        <v>1777627.56</v>
      </c>
      <c r="O30" s="30">
        <f t="shared" ca="1" si="17"/>
        <v>54.215102771039291</v>
      </c>
      <c r="P30" s="30">
        <f t="shared" ca="1" si="18"/>
        <v>54.215102771039291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3278842</v>
      </c>
      <c r="M31" s="497">
        <f t="shared" ca="1" si="20"/>
        <v>3278842</v>
      </c>
      <c r="N31" s="497">
        <f t="shared" si="20"/>
        <v>1777627.56</v>
      </c>
      <c r="O31" s="497">
        <f t="shared" ca="1" si="17"/>
        <v>54.215102771039291</v>
      </c>
      <c r="P31" s="497">
        <f t="shared" ca="1" si="18"/>
        <v>54.215102771039291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3278842</v>
      </c>
      <c r="M33" s="93">
        <f t="shared" ca="1" si="21"/>
        <v>3278842</v>
      </c>
      <c r="N33" s="93">
        <f t="shared" si="21"/>
        <v>1777627.56</v>
      </c>
      <c r="O33" s="93">
        <f t="shared" ca="1" si="17"/>
        <v>54.215102771039291</v>
      </c>
      <c r="P33" s="93">
        <f t="shared" ca="1" si="18"/>
        <v>54.215102771039291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6275519</v>
      </c>
      <c r="M37" s="870">
        <f t="shared" ca="1" si="24"/>
        <v>5287287</v>
      </c>
      <c r="N37" s="870">
        <f t="shared" ca="1" si="24"/>
        <v>4260776.0299999993</v>
      </c>
      <c r="O37" s="870">
        <f t="shared" ca="1" si="17"/>
        <v>67.895197672096913</v>
      </c>
      <c r="P37" s="870">
        <f t="shared" ca="1" si="18"/>
        <v>80.585298849863818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478559</v>
      </c>
      <c r="M41" s="85">
        <f t="shared" ca="1" si="25"/>
        <v>498005</v>
      </c>
      <c r="N41" s="85">
        <f t="shared" ca="1" si="25"/>
        <v>347344.32</v>
      </c>
      <c r="O41" s="85">
        <f t="shared" ref="O41:O49" ca="1" si="26">IF(L41&gt;0,N41*100/L41,0)</f>
        <v>72.581295096320417</v>
      </c>
      <c r="P41" s="85">
        <f t="shared" ref="P41:P49" ca="1" si="27">IF(M41&gt;0,N41*100/M41,0)</f>
        <v>69.747155149044687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478559</v>
      </c>
      <c r="M43" s="92">
        <f t="shared" ca="1" si="28"/>
        <v>498005</v>
      </c>
      <c r="N43" s="92">
        <f t="shared" ca="1" si="28"/>
        <v>347344.32</v>
      </c>
      <c r="O43" s="92">
        <f t="shared" ca="1" si="26"/>
        <v>72.581295096320417</v>
      </c>
      <c r="P43" s="92">
        <f t="shared" ca="1" si="27"/>
        <v>69.747155149044687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478559</v>
      </c>
      <c r="M44" s="497">
        <f t="shared" ca="1" si="29"/>
        <v>498005</v>
      </c>
      <c r="N44" s="497">
        <f t="shared" ca="1" si="29"/>
        <v>347344.32</v>
      </c>
      <c r="O44" s="497">
        <f t="shared" ca="1" si="26"/>
        <v>72.581295096320417</v>
      </c>
      <c r="P44" s="497">
        <f t="shared" ca="1" si="27"/>
        <v>69.747155149044687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IFERROR(__xludf.DUMMYFUNCTION("IMPORTRANGE(""https://docs.google.com/spreadsheets/d/1MeEWN-I1oV_STSDYn1IFDPWt_1FKiwhDph83XaGc0o0/edit?usp=sharing"",""งบพรบ!M51"")"),478559)</f>
        <v>478559</v>
      </c>
      <c r="M46" s="93">
        <f ca="1">IFERROR(__xludf.DUMMYFUNCTION("IMPORTRANGE(""https://docs.google.com/spreadsheets/d/1MeEWN-I1oV_STSDYn1IFDPWt_1FKiwhDph83XaGc0o0/edit?usp=sharing"",""งบพรบ!R51"")"),498005)</f>
        <v>498005</v>
      </c>
      <c r="N46" s="93">
        <f ca="1">IFERROR(__xludf.DUMMYFUNCTION("IMPORTRANGE(""https://docs.google.com/spreadsheets/d/1MeEWN-I1oV_STSDYn1IFDPWt_1FKiwhDph83XaGc0o0/edit?usp=sharing"",""งบพรบ!T51"")"),347344.32)</f>
        <v>347344.32</v>
      </c>
      <c r="O46" s="93">
        <f t="shared" ca="1" si="26"/>
        <v>72.581295096320417</v>
      </c>
      <c r="P46" s="93">
        <f t="shared" ca="1" si="27"/>
        <v>69.747155149044687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IFERROR(__xludf.DUMMYFUNCTION("IMPORTRANGE(""https://docs.google.com/spreadsheets/d/1MeEWN-I1oV_STSDYn1IFDPWt_1FKiwhDph83XaGc0o0/edit?usp=sharing"",""งบพรบ!P51"")"),0)</f>
        <v>0</v>
      </c>
      <c r="M49" s="52">
        <f ca="1">IFERROR(__xludf.DUMMYFUNCTION("IMPORTRANGE(""https://docs.google.com/spreadsheets/d/1MeEWN-I1oV_STSDYn1IFDPWt_1FKiwhDph83XaGc0o0/edit?usp=sharing"",""งบพรบ!S51"")"),0)</f>
        <v>0</v>
      </c>
      <c r="N49" s="52">
        <f ca="1">IFERROR(__xludf.DUMMYFUNCTION("IMPORTRANGE(""https://docs.google.com/spreadsheets/d/1MeEWN-I1oV_STSDYn1IFDPWt_1FKiwhDph83XaGc0o0/edit?usp=sharing"",""งบพรบ!U51"")"),0)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1853500</v>
      </c>
      <c r="M53" s="116">
        <f t="shared" ca="1" si="31"/>
        <v>1583867</v>
      </c>
      <c r="N53" s="116">
        <f t="shared" ca="1" si="31"/>
        <v>1465778.51</v>
      </c>
      <c r="O53" s="116">
        <f t="shared" ref="O53:O61" ca="1" si="32">IF(L53&gt;0,N53*100/L53,0)</f>
        <v>79.081656865389803</v>
      </c>
      <c r="P53" s="116">
        <f t="shared" ref="P53:P61" ca="1" si="33">IF(M53&gt;0,N53*100/M53,0)</f>
        <v>92.54429254476544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1853500</v>
      </c>
      <c r="M55" s="123">
        <f t="shared" ca="1" si="34"/>
        <v>1583867</v>
      </c>
      <c r="N55" s="123">
        <f t="shared" ca="1" si="34"/>
        <v>1465778.51</v>
      </c>
      <c r="O55" s="123">
        <f t="shared" ca="1" si="32"/>
        <v>79.081656865389803</v>
      </c>
      <c r="P55" s="123">
        <f t="shared" ca="1" si="33"/>
        <v>92.54429254476544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954500</v>
      </c>
      <c r="M56" s="497">
        <f t="shared" ca="1" si="35"/>
        <v>715875</v>
      </c>
      <c r="N56" s="497">
        <f t="shared" ca="1" si="35"/>
        <v>597786.51</v>
      </c>
      <c r="O56" s="497">
        <f t="shared" ca="1" si="32"/>
        <v>62.628235725510741</v>
      </c>
      <c r="P56" s="497">
        <f t="shared" ca="1" si="33"/>
        <v>83.504314300680988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IFERROR(__xludf.DUMMYFUNCTION("IMPORTRANGE(""https://docs.google.com/spreadsheets/d/1MeEWN-I1oV_STSDYn1IFDPWt_1FKiwhDph83XaGc0o0/edit?usp=sharing"",""งบพรบ!W51"")"),954500)</f>
        <v>954500</v>
      </c>
      <c r="M58" s="93">
        <f ca="1">IFERROR(__xludf.DUMMYFUNCTION("IMPORTRANGE(""https://docs.google.com/spreadsheets/d/1MeEWN-I1oV_STSDYn1IFDPWt_1FKiwhDph83XaGc0o0/edit?usp=sharing"",""งบพรบ!AB51"")"),715875)</f>
        <v>715875</v>
      </c>
      <c r="N58" s="93">
        <f ca="1">IFERROR(__xludf.DUMMYFUNCTION("IMPORTRANGE(""https://docs.google.com/spreadsheets/d/1MeEWN-I1oV_STSDYn1IFDPWt_1FKiwhDph83XaGc0o0/edit?usp=sharing"",""งบพรบ!AD51"")"),597786.51)</f>
        <v>597786.51</v>
      </c>
      <c r="O58" s="93">
        <f t="shared" ca="1" si="32"/>
        <v>62.628235725510741</v>
      </c>
      <c r="P58" s="93">
        <f t="shared" ca="1" si="33"/>
        <v>83.504314300680988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899000</v>
      </c>
      <c r="M59" s="497">
        <f t="shared" ca="1" si="36"/>
        <v>867992</v>
      </c>
      <c r="N59" s="497">
        <f t="shared" ca="1" si="36"/>
        <v>867992</v>
      </c>
      <c r="O59" s="497">
        <f t="shared" ca="1" si="32"/>
        <v>96.550834260289207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IFERROR(__xludf.DUMMYFUNCTION("IMPORTRANGE(""https://docs.google.com/spreadsheets/d/1MeEWN-I1oV_STSDYn1IFDPWt_1FKiwhDph83XaGc0o0/edit?usp=sharing"",""งบพรบ!Z51"")"),899000)</f>
        <v>899000</v>
      </c>
      <c r="M61" s="52">
        <f ca="1">IFERROR(__xludf.DUMMYFUNCTION("IMPORTRANGE(""https://docs.google.com/spreadsheets/d/1MeEWN-I1oV_STSDYn1IFDPWt_1FKiwhDph83XaGc0o0/edit?usp=sharing"",""งบพรบ!AC51"")"),867992)</f>
        <v>867992</v>
      </c>
      <c r="N61" s="52">
        <f ca="1">IFERROR(__xludf.DUMMYFUNCTION("IMPORTRANGE(""https://docs.google.com/spreadsheets/d/1MeEWN-I1oV_STSDYn1IFDPWt_1FKiwhDph83XaGc0o0/edit?usp=sharing"",""งบพรบ!AE51"")"),867992)</f>
        <v>867992</v>
      </c>
      <c r="O61" s="52">
        <f t="shared" ca="1" si="32"/>
        <v>96.550834260289207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412000</v>
      </c>
      <c r="M66" s="155">
        <f t="shared" ca="1" si="39"/>
        <v>315950</v>
      </c>
      <c r="N66" s="155">
        <f t="shared" ca="1" si="39"/>
        <v>293009.8</v>
      </c>
      <c r="O66" s="155">
        <f t="shared" ref="O66:O74" ca="1" si="40">IF(L66&gt;0,N66*100/L66,0)</f>
        <v>71.118883495145624</v>
      </c>
      <c r="P66" s="155">
        <f t="shared" ref="P66:P74" ca="1" si="41">IF(M66&gt;0,N66*100/M66,0)</f>
        <v>92.739294192119004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412000</v>
      </c>
      <c r="M68" s="93">
        <f t="shared" ca="1" si="42"/>
        <v>315950</v>
      </c>
      <c r="N68" s="93">
        <f t="shared" ca="1" si="42"/>
        <v>293009.8</v>
      </c>
      <c r="O68" s="93">
        <f t="shared" ca="1" si="40"/>
        <v>71.118883495145624</v>
      </c>
      <c r="P68" s="93">
        <f t="shared" ca="1" si="41"/>
        <v>92.739294192119004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412000</v>
      </c>
      <c r="M69" s="497">
        <f t="shared" ca="1" si="43"/>
        <v>315950</v>
      </c>
      <c r="N69" s="497">
        <f t="shared" ca="1" si="43"/>
        <v>293009.8</v>
      </c>
      <c r="O69" s="497">
        <f t="shared" ca="1" si="40"/>
        <v>71.118883495145624</v>
      </c>
      <c r="P69" s="497">
        <f t="shared" ca="1" si="41"/>
        <v>92.739294192119004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IFERROR(__xludf.DUMMYFUNCTION("IMPORTRANGE(""https://docs.google.com/spreadsheets/d/1MeEWN-I1oV_STSDYn1IFDPWt_1FKiwhDph83XaGc0o0/edit?usp=sharing"",""งบพรบ!AG51"")"),412000)</f>
        <v>412000</v>
      </c>
      <c r="M71" s="93">
        <f ca="1">IFERROR(__xludf.DUMMYFUNCTION("IMPORTRANGE(""https://docs.google.com/spreadsheets/d/1MeEWN-I1oV_STSDYn1IFDPWt_1FKiwhDph83XaGc0o0/edit?usp=sharing"",""งบพรบ!AL51"")"),315950)</f>
        <v>315950</v>
      </c>
      <c r="N71" s="93">
        <f ca="1">IFERROR(__xludf.DUMMYFUNCTION("IMPORTRANGE(""https://docs.google.com/spreadsheets/d/1MeEWN-I1oV_STSDYn1IFDPWt_1FKiwhDph83XaGc0o0/edit?usp=sharing"",""งบพรบ!AN51"")"),293009.8)</f>
        <v>293009.8</v>
      </c>
      <c r="O71" s="93">
        <f t="shared" ca="1" si="40"/>
        <v>71.118883495145624</v>
      </c>
      <c r="P71" s="93">
        <f t="shared" ca="1" si="41"/>
        <v>92.739294192119004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>
        <v>0</v>
      </c>
      <c r="N73" s="93">
        <v>0</v>
      </c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IFERROR(__xludf.DUMMYFUNCTION("IMPORTRANGE(""https://docs.google.com/spreadsheets/d/1MeEWN-I1oV_STSDYn1IFDPWt_1FKiwhDph83XaGc0o0/edit?usp=sharing"",""งบพรบ!AJ51"")"),0)</f>
        <v>0</v>
      </c>
      <c r="M74" s="93">
        <f ca="1">IFERROR(__xludf.DUMMYFUNCTION("IMPORTRANGE(""https://docs.google.com/spreadsheets/d/1MeEWN-I1oV_STSDYn1IFDPWt_1FKiwhDph83XaGc0o0/edit?usp=sharing"",""งบพรบ!AM51"")"),0)</f>
        <v>0</v>
      </c>
      <c r="N74" s="93">
        <f ca="1">IFERROR(__xludf.DUMMYFUNCTION("IMPORTRANGE(""https://docs.google.com/spreadsheets/d/1MeEWN-I1oV_STSDYn1IFDPWt_1FKiwhDph83XaGc0o0/edit?usp=sharing"",""งบพรบ!AO51"")"),0)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IFERROR(__xludf.DUMMYFUNCTION("IMPORTRANGE(""https://docs.google.com/spreadsheets/d/1QqKyyYR6Q21VydFLVH3TRQUabQu_ym0Zz7PgGX0-kHA/edit?usp=sharing"",""แผน!H51"")"),1)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IFERROR(__xludf.DUMMYFUNCTION("IMPORTRANGE(""https://docs.google.com/spreadsheets/d/1QqKyyYR6Q21VydFLVH3TRQUabQu_ym0Zz7PgGX0-kHA/edit?usp=sharing"",""แผน!I51"")"),35)</f>
        <v>35</v>
      </c>
      <c r="J79" s="215">
        <v>35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IFERROR(__xludf.DUMMYFUNCTION("IMPORTRANGE(""https://docs.google.com/spreadsheets/d/1QqKyyYR6Q21VydFLVH3TRQUabQu_ym0Zz7PgGX0-kHA/edit?usp=sharing"",""แผน!J51"")"),1)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63010</v>
      </c>
      <c r="N88" s="155">
        <f t="shared" ca="1" si="49"/>
        <v>55151.5</v>
      </c>
      <c r="O88" s="155">
        <f t="shared" ref="O88:O96" ca="1" si="50">IF(L88&gt;0,N88*100/L88,0)</f>
        <v>55.731103476151979</v>
      </c>
      <c r="P88" s="155">
        <f t="shared" ref="P88:P96" ca="1" si="51">IF(M88&gt;0,N88*100/M88,0)</f>
        <v>87.528170131725119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98960</v>
      </c>
      <c r="M90" s="93">
        <f t="shared" ca="1" si="52"/>
        <v>63010</v>
      </c>
      <c r="N90" s="93">
        <f t="shared" ca="1" si="52"/>
        <v>55151.5</v>
      </c>
      <c r="O90" s="93">
        <f t="shared" ca="1" si="50"/>
        <v>55.731103476151979</v>
      </c>
      <c r="P90" s="93">
        <f t="shared" ca="1" si="51"/>
        <v>87.528170131725119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63010</v>
      </c>
      <c r="N91" s="497">
        <f t="shared" ca="1" si="53"/>
        <v>55151.5</v>
      </c>
      <c r="O91" s="497">
        <f t="shared" ca="1" si="50"/>
        <v>55.731103476151979</v>
      </c>
      <c r="P91" s="497">
        <f t="shared" ca="1" si="51"/>
        <v>87.528170131725119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IFERROR(__xludf.DUMMYFUNCTION("IMPORTRANGE(""https://docs.google.com/spreadsheets/d/1MeEWN-I1oV_STSDYn1IFDPWt_1FKiwhDph83XaGc0o0/edit?usp=sharing"",""งบพรบ!AQ51"")"),98960)</f>
        <v>98960</v>
      </c>
      <c r="M93" s="93">
        <f ca="1">IFERROR(__xludf.DUMMYFUNCTION("IMPORTRANGE(""https://docs.google.com/spreadsheets/d/1MeEWN-I1oV_STSDYn1IFDPWt_1FKiwhDph83XaGc0o0/edit?usp=sharing"",""งบพรบ!AV51"")"),63010)</f>
        <v>63010</v>
      </c>
      <c r="N93" s="93">
        <f ca="1">IFERROR(__xludf.DUMMYFUNCTION("IMPORTRANGE(""https://docs.google.com/spreadsheets/d/1MeEWN-I1oV_STSDYn1IFDPWt_1FKiwhDph83XaGc0o0/edit?usp=sharing"",""งบพรบ!AX51"")"),55151.5)</f>
        <v>55151.5</v>
      </c>
      <c r="O93" s="93">
        <f t="shared" ca="1" si="50"/>
        <v>55.731103476151979</v>
      </c>
      <c r="P93" s="93">
        <f t="shared" ca="1" si="51"/>
        <v>87.528170131725119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IFERROR(__xludf.DUMMYFUNCTION("IMPORTRANGE(""https://docs.google.com/spreadsheets/d/1MeEWN-I1oV_STSDYn1IFDPWt_1FKiwhDph83XaGc0o0/edit?usp=sharing"",""งบพรบ!AT51"")"),0)</f>
        <v>0</v>
      </c>
      <c r="M96" s="93">
        <f ca="1">IFERROR(__xludf.DUMMYFUNCTION("IMPORTRANGE(""https://docs.google.com/spreadsheets/d/1MeEWN-I1oV_STSDYn1IFDPWt_1FKiwhDph83XaGc0o0/edit?usp=sharing"",""งบพรบ!AW51"")"),0)</f>
        <v>0</v>
      </c>
      <c r="N96" s="93">
        <f ca="1">IFERROR(__xludf.DUMMYFUNCTION("IMPORTRANGE(""https://docs.google.com/spreadsheets/d/1MeEWN-I1oV_STSDYn1IFDPWt_1FKiwhDph83XaGc0o0/edit?usp=sharing"",""งบพรบ!AY51"")"),0)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IFERROR(__xludf.DUMMYFUNCTION("IMPORTRANGE(""https://docs.google.com/spreadsheets/d/1QqKyyYR6Q21VydFLVH3TRQUabQu_ym0Zz7PgGX0-kHA/edit?usp=sharing"",""แผน!K51"")"),45)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IFERROR(__xludf.DUMMYFUNCTION("IMPORTRANGE(""https://docs.google.com/spreadsheets/d/1QqKyyYR6Q21VydFLVH3TRQUabQu_ym0Zz7PgGX0-kHA/edit?usp=sharing"",""แผน!L51"")"),15)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IFERROR(__xludf.DUMMYFUNCTION("IMPORTRANGE(""https://docs.google.com/spreadsheets/d/1QqKyyYR6Q21VydFLVH3TRQUabQu_ym0Zz7PgGX0-kHA/edit?usp=sharing"",""แผน!N51"")"),45)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IFERROR(__xludf.DUMMYFUNCTION("IMPORTRANGE(""https://docs.google.com/spreadsheets/d/1QqKyyYR6Q21VydFLVH3TRQUabQu_ym0Zz7PgGX0-kHA/edit?usp=sharing"",""แผน!O51"")"),15)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IFERROR(__xludf.DUMMYFUNCTION("IMPORTRANGE(""https://docs.google.com/spreadsheets/d/1QqKyyYR6Q21VydFLVH3TRQUabQu_ym0Zz7PgGX0-kHA/edit?usp=sharing"",""แผน!O51"")"),15)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IFERROR(__xludf.DUMMYFUNCTION("IMPORTRANGE(""https://docs.google.com/spreadsheets/d/1QqKyyYR6Q21VydFLVH3TRQUabQu_ym0Zz7PgGX0-kHA/edit?usp=sharing"",""แผน!R51"")"),15)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IFERROR(__xludf.DUMMYFUNCTION("IMPORTRANGE(""https://docs.google.com/spreadsheets/d/1QqKyyYR6Q21VydFLVH3TRQUabQu_ym0Zz7PgGX0-kHA/edit?usp=sharing"",""แผน!R51"")"),15)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IFERROR(__xludf.DUMMYFUNCTION("IMPORTRANGE(""https://docs.google.com/spreadsheets/d/1QqKyyYR6Q21VydFLVH3TRQUabQu_ym0Zz7PgGX0-kHA/edit?usp=sharing"",""แผน!R51"")"),15)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IFERROR(__xludf.DUMMYFUNCTION("IMPORTRANGE(""https://docs.google.com/spreadsheets/d/1MeEWN-I1oV_STSDYn1IFDPWt_1FKiwhDph83XaGc0o0/edit?usp=sharing"",""งบพรบ!BA51"")"),0)</f>
        <v>0</v>
      </c>
      <c r="M124" s="93">
        <f ca="1">IFERROR(__xludf.DUMMYFUNCTION("IMPORTRANGE(""https://docs.google.com/spreadsheets/d/1MeEWN-I1oV_STSDYn1IFDPWt_1FKiwhDph83XaGc0o0/edit?usp=sharing"",""งบพรบ!BF51"")"),0)</f>
        <v>0</v>
      </c>
      <c r="N124" s="93">
        <f ca="1">IFERROR(__xludf.DUMMYFUNCTION("IMPORTRANGE(""https://docs.google.com/spreadsheets/d/1MeEWN-I1oV_STSDYn1IFDPWt_1FKiwhDph83XaGc0o0/edit?usp=sharing"",""งบพรบ!BH51"")"),0)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IFERROR(__xludf.DUMMYFUNCTION("IMPORTRANGE(""https://docs.google.com/spreadsheets/d/1MeEWN-I1oV_STSDYn1IFDPWt_1FKiwhDph83XaGc0o0/edit?usp=sharing"",""งบพรบ!BD51"")"),0)</f>
        <v>0</v>
      </c>
      <c r="M127" s="93">
        <f ca="1">IFERROR(__xludf.DUMMYFUNCTION("IMPORTRANGE(""https://docs.google.com/spreadsheets/d/1MeEWN-I1oV_STSDYn1IFDPWt_1FKiwhDph83XaGc0o0/edit?usp=sharing"",""งบพรบ!BG51"")"),0)</f>
        <v>0</v>
      </c>
      <c r="N127" s="93">
        <f ca="1">IFERROR(__xludf.DUMMYFUNCTION("IMPORTRANGE(""https://docs.google.com/spreadsheets/d/1MeEWN-I1oV_STSDYn1IFDPWt_1FKiwhDph83XaGc0o0/edit?usp=sharing"",""งบพรบ!BI51"")"),0)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IFERROR(__xludf.DUMMYFUNCTION("IMPORTRANGE(""https://docs.google.com/spreadsheets/d/1MeEWN-I1oV_STSDYn1IFDPWt_1FKiwhDph83XaGc0o0/edit?usp=sharing"",""งบพรบ!BK51"")"),0)</f>
        <v>0</v>
      </c>
      <c r="M137" s="93">
        <f ca="1">IFERROR(__xludf.DUMMYFUNCTION("IMPORTRANGE(""https://docs.google.com/spreadsheets/d/1MeEWN-I1oV_STSDYn1IFDPWt_1FKiwhDph83XaGc0o0/edit?usp=sharing"",""งบพรบ!BP51"")"),0)</f>
        <v>0</v>
      </c>
      <c r="N137" s="93">
        <f ca="1">IFERROR(__xludf.DUMMYFUNCTION("IMPORTRANGE(""https://docs.google.com/spreadsheets/d/1MeEWN-I1oV_STSDYn1IFDPWt_1FKiwhDph83XaGc0o0/edit?usp=sharing"",""งบพรบ!BR51"")"),0)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IFERROR(__xludf.DUMMYFUNCTION("IMPORTRANGE(""https://docs.google.com/spreadsheets/d/1MeEWN-I1oV_STSDYn1IFDPWt_1FKiwhDph83XaGc0o0/edit?usp=sharing"",""งบพรบ!BN51"")"),0)</f>
        <v>0</v>
      </c>
      <c r="M140" s="93">
        <f ca="1">IFERROR(__xludf.DUMMYFUNCTION("IMPORTRANGE(""https://docs.google.com/spreadsheets/d/1MeEWN-I1oV_STSDYn1IFDPWt_1FKiwhDph83XaGc0o0/edit?usp=sharing"",""งบพรบ!BQ51"")"),0)</f>
        <v>0</v>
      </c>
      <c r="N140" s="93">
        <f ca="1">IFERROR(__xludf.DUMMYFUNCTION("IMPORTRANGE(""https://docs.google.com/spreadsheets/d/1MeEWN-I1oV_STSDYn1IFDPWt_1FKiwhDph83XaGc0o0/edit?usp=sharing"",""งบพรบ!BS51"")"),0)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IFERROR(__xludf.DUMMYFUNCTION("IMPORTRANGE(""https://docs.google.com/spreadsheets/d/1MeEWN-I1oV_STSDYn1IFDPWt_1FKiwhDph83XaGc0o0/edit?usp=sharing"",""งบพรบ!BU51"")"),0)</f>
        <v>0</v>
      </c>
      <c r="M154" s="93">
        <f ca="1">IFERROR(__xludf.DUMMYFUNCTION("IMPORTRANGE(""https://docs.google.com/spreadsheets/d/1MeEWN-I1oV_STSDYn1IFDPWt_1FKiwhDph83XaGc0o0/edit?usp=sharing"",""งบพรบ!BZ51"")"),0)</f>
        <v>0</v>
      </c>
      <c r="N154" s="93">
        <f ca="1">IFERROR(__xludf.DUMMYFUNCTION("IMPORTRANGE(""https://docs.google.com/spreadsheets/d/1MeEWN-I1oV_STSDYn1IFDPWt_1FKiwhDph83XaGc0o0/edit?usp=sharing"",""งบพรบ!CB51"")"),0)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IFERROR(__xludf.DUMMYFUNCTION("IMPORTRANGE(""https://docs.google.com/spreadsheets/d/1MeEWN-I1oV_STSDYn1IFDPWt_1FKiwhDph83XaGc0o0/edit?usp=sharing"",""งบพรบ!BX51"")"),0)</f>
        <v>0</v>
      </c>
      <c r="M157" s="93">
        <f ca="1">IFERROR(__xludf.DUMMYFUNCTION("IMPORTRANGE(""https://docs.google.com/spreadsheets/d/1MeEWN-I1oV_STSDYn1IFDPWt_1FKiwhDph83XaGc0o0/edit?usp=sharing"",""งบพรบ!CA51"")"),0)</f>
        <v>0</v>
      </c>
      <c r="N157" s="93">
        <f ca="1">IFERROR(__xludf.DUMMYFUNCTION("IMPORTRANGE(""https://docs.google.com/spreadsheets/d/1MeEWN-I1oV_STSDYn1IFDPWt_1FKiwhDph83XaGc0o0/edit?usp=sharing"",""งบพรบ!CC51"")"),0)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IFERROR(__xludf.DUMMYFUNCTION("IMPORTRANGE(""https://docs.google.com/spreadsheets/d/1MeEWN-I1oV_STSDYn1IFDPWt_1FKiwhDph83XaGc0o0/edit?usp=sharing"",""งบพรบ!CE51"")"),23060)</f>
        <v>23060</v>
      </c>
      <c r="M170" s="93">
        <f ca="1">IFERROR(__xludf.DUMMYFUNCTION("IMPORTRANGE(""https://docs.google.com/spreadsheets/d/1MeEWN-I1oV_STSDYn1IFDPWt_1FKiwhDph83XaGc0o0/edit?usp=sharing"",""งบพรบ!CJ51"")"),23060)</f>
        <v>23060</v>
      </c>
      <c r="N170" s="93">
        <f ca="1">IFERROR(__xludf.DUMMYFUNCTION("IMPORTRANGE(""https://docs.google.com/spreadsheets/d/1MeEWN-I1oV_STSDYn1IFDPWt_1FKiwhDph83XaGc0o0/edit?usp=sharing"",""งบพรบ!CL51"")"),23060)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IFERROR(__xludf.DUMMYFUNCTION("IMPORTRANGE(""https://docs.google.com/spreadsheets/d/1MeEWN-I1oV_STSDYn1IFDPWt_1FKiwhDph83XaGc0o0/edit?usp=sharing"",""งบพรบ!CH51"")"),0)</f>
        <v>0</v>
      </c>
      <c r="M173" s="93">
        <f ca="1">IFERROR(__xludf.DUMMYFUNCTION("IMPORTRANGE(""https://docs.google.com/spreadsheets/d/1MeEWN-I1oV_STSDYn1IFDPWt_1FKiwhDph83XaGc0o0/edit?usp=sharing"",""งบพรบ!CK51"")"),0)</f>
        <v>0</v>
      </c>
      <c r="N173" s="93">
        <f ca="1">IFERROR(__xludf.DUMMYFUNCTION("IMPORTRANGE(""https://docs.google.com/spreadsheets/d/1MeEWN-I1oV_STSDYn1IFDPWt_1FKiwhDph83XaGc0o0/edit?usp=sharing"",""งบพรบ!CM51"")"),0)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IFERROR(__xludf.DUMMYFUNCTION("IMPORTRANGE(""https://docs.google.com/spreadsheets/d/1QqKyyYR6Q21VydFLVH3TRQUabQu_ym0Zz7PgGX0-kHA/edit?usp=sharing"",""แผน!Y51"")"),12)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492400</v>
      </c>
      <c r="M181" s="155">
        <f t="shared" ca="1" si="92"/>
        <v>386525</v>
      </c>
      <c r="N181" s="155">
        <f t="shared" ca="1" si="92"/>
        <v>338267.1</v>
      </c>
      <c r="O181" s="155">
        <f t="shared" ref="O181:O189" ca="1" si="93">IF(L181&gt;0,N181*100/L181,0)</f>
        <v>68.697623883021933</v>
      </c>
      <c r="P181" s="155">
        <f t="shared" ref="P181:P189" ca="1" si="94">IF(M181&gt;0,N181*100/M181,0)</f>
        <v>87.514934350947541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492400</v>
      </c>
      <c r="M183" s="93">
        <f t="shared" ca="1" si="95"/>
        <v>386525</v>
      </c>
      <c r="N183" s="93">
        <f t="shared" ca="1" si="95"/>
        <v>338267.1</v>
      </c>
      <c r="O183" s="93">
        <f t="shared" ca="1" si="93"/>
        <v>68.697623883021933</v>
      </c>
      <c r="P183" s="93">
        <f t="shared" ca="1" si="94"/>
        <v>87.514934350947541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492400</v>
      </c>
      <c r="M184" s="497">
        <f t="shared" ca="1" si="96"/>
        <v>386525</v>
      </c>
      <c r="N184" s="497">
        <f t="shared" ca="1" si="96"/>
        <v>338267.1</v>
      </c>
      <c r="O184" s="497">
        <f t="shared" ca="1" si="93"/>
        <v>68.697623883021933</v>
      </c>
      <c r="P184" s="497">
        <f t="shared" ca="1" si="94"/>
        <v>87.514934350947541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IFERROR(__xludf.DUMMYFUNCTION("IMPORTRANGE(""https://docs.google.com/spreadsheets/d/1MeEWN-I1oV_STSDYn1IFDPWt_1FKiwhDph83XaGc0o0/edit?usp=sharing"",""งบพรบ!CO51"")"),492400)</f>
        <v>492400</v>
      </c>
      <c r="M186" s="93">
        <f ca="1">IFERROR(__xludf.DUMMYFUNCTION("IMPORTRANGE(""https://docs.google.com/spreadsheets/d/1MeEWN-I1oV_STSDYn1IFDPWt_1FKiwhDph83XaGc0o0/edit?usp=sharing"",""งบพรบ!CT51"")"),386525)</f>
        <v>386525</v>
      </c>
      <c r="N186" s="93">
        <f ca="1">IFERROR(__xludf.DUMMYFUNCTION("IMPORTRANGE(""https://docs.google.com/spreadsheets/d/1MeEWN-I1oV_STSDYn1IFDPWt_1FKiwhDph83XaGc0o0/edit?usp=sharing"",""งบพรบ!CV51"")"),338267.1)</f>
        <v>338267.1</v>
      </c>
      <c r="O186" s="93">
        <f t="shared" ca="1" si="93"/>
        <v>68.697623883021933</v>
      </c>
      <c r="P186" s="93">
        <f t="shared" ca="1" si="94"/>
        <v>87.514934350947541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IFERROR(__xludf.DUMMYFUNCTION("IMPORTRANGE(""https://docs.google.com/spreadsheets/d/1MeEWN-I1oV_STSDYn1IFDPWt_1FKiwhDph83XaGc0o0/edit?usp=sharing"",""งบพรบ!CR51"")"),0)</f>
        <v>0</v>
      </c>
      <c r="M189" s="93">
        <f ca="1">IFERROR(__xludf.DUMMYFUNCTION("IMPORTRANGE(""https://docs.google.com/spreadsheets/d/1MeEWN-I1oV_STSDYn1IFDPWt_1FKiwhDph83XaGc0o0/edit?usp=sharing"",""งบพรบ!CU51"")"),0)</f>
        <v>0</v>
      </c>
      <c r="N189" s="93">
        <f ca="1">IFERROR(__xludf.DUMMYFUNCTION("IMPORTRANGE(""https://docs.google.com/spreadsheets/d/1MeEWN-I1oV_STSDYn1IFDPWt_1FKiwhDph83XaGc0o0/edit?usp=sharing"",""งบพรบ!CW51"")"),0)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IFERROR(__xludf.DUMMYFUNCTION("IMPORTRANGE(""https://docs.google.com/spreadsheets/d/1QqKyyYR6Q21VydFLVH3TRQUabQu_ym0Zz7PgGX0-kHA/edit?usp=sharing"",""แผน!AC51"")"),4)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32000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IFERROR(__xludf.DUMMYFUNCTION("IMPORTRANGE(""https://docs.google.com/spreadsheets/d/1QqKyyYR6Q21VydFLVH3TRQUabQu_ym0Zz7PgGX0-kHA/edit?usp=sharing"",""แผน!AE51"")"),4000)</f>
        <v>4000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IFERROR(__xludf.DUMMYFUNCTION("IMPORTRANGE(""https://docs.google.com/spreadsheets/d/1QqKyyYR6Q21VydFLVH3TRQUabQu_ym0Zz7PgGX0-kHA/edit?usp=sharing"",""แผน!AF51"")"),32000)</f>
        <v>32000</v>
      </c>
      <c r="M200" s="497"/>
      <c r="N200" s="838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IFERROR(__xludf.DUMMYFUNCTION("IMPORTRANGE(""https://docs.google.com/spreadsheets/d/1QqKyyYR6Q21VydFLVH3TRQUabQu_ym0Zz7PgGX0-kHA/edit?usp=sharing"",""แผน!AG51"")"),16000)</f>
        <v>16000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IFERROR(__xludf.DUMMYFUNCTION("IMPORTRANGE(""https://docs.google.com/spreadsheets/d/1QqKyyYR6Q21VydFLVH3TRQUabQu_ym0Zz7PgGX0-kHA/edit?usp=sharing"",""แผน!AI51"")"),4)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IFERROR(__xludf.DUMMYFUNCTION("IMPORTRANGE(""https://docs.google.com/spreadsheets/d/1QqKyyYR6Q21VydFLVH3TRQUabQu_ym0Zz7PgGX0-kHA/edit?usp=sharing"",""แผน!AK51"")"),2000)</f>
        <v>2000</v>
      </c>
      <c r="M210" s="497"/>
      <c r="N210" s="838">
        <v>2000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IFERROR(__xludf.DUMMYFUNCTION("IMPORTRANGE(""https://docs.google.com/spreadsheets/d/1QqKyyYR6Q21VydFLVH3TRQUabQu_ym0Zz7PgGX0-kHA/edit?usp=sharing"",""แผน!AL51"")"),10000)</f>
        <v>10000</v>
      </c>
      <c r="M211" s="497"/>
      <c r="N211" s="838">
        <v>10000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IFERROR(__xludf.DUMMYFUNCTION("IMPORTRANGE(""https://docs.google.com/spreadsheets/d/1QqKyyYR6Q21VydFLVH3TRQUabQu_ym0Zz7PgGX0-kHA/edit?usp=sharing"",""แผน!AM51"")"),16000)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IFERROR(__xludf.DUMMYFUNCTION("IMPORTRANGE(""https://docs.google.com/spreadsheets/d/1QqKyyYR6Q21VydFLVH3TRQUabQu_ym0Zz7PgGX0-kHA/edit?usp=sharing"",""แผน!AN51"")"),2)</f>
        <v>2</v>
      </c>
      <c r="J214" s="215">
        <v>2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IFERROR(__xludf.DUMMYFUNCTION("IMPORTRANGE(""https://docs.google.com/spreadsheets/d/1QqKyyYR6Q21VydFLVH3TRQUabQu_ym0Zz7PgGX0-kHA/edit?usp=sharing"",""แผน!AN51"")"),2)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IFERROR(__xludf.DUMMYFUNCTION("IMPORTRANGE(""https://docs.google.com/spreadsheets/d/1QqKyyYR6Q21VydFLVH3TRQUabQu_ym0Zz7PgGX0-kHA/edit?usp=sharing"",""แผน!AT51"")"),30000)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120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217400</v>
      </c>
      <c r="M227" s="356"/>
      <c r="N227" s="356">
        <f t="shared" ref="N227:N231" si="107">N238+N249</f>
        <v>66000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22000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44400</v>
      </c>
      <c r="M229" s="93"/>
      <c r="N229" s="93">
        <f t="shared" si="107"/>
        <v>44000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358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217400</v>
      </c>
      <c r="M238" s="155"/>
      <c r="N238" s="155">
        <f>N239+N240+N241+N242</f>
        <v>66000</v>
      </c>
      <c r="O238" s="155">
        <f ca="1">IF(L238&gt;0,N238*100/L238,0)</f>
        <v>30.358785648574056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IFERROR(__xludf.DUMMYFUNCTION("IMPORTRANGE(""https://docs.google.com/spreadsheets/d/1QqKyyYR6Q21VydFLVH3TRQUabQu_ym0Zz7PgGX0-kHA/edit?usp=sharing"",""แผน!AV51"")"),163000)</f>
        <v>163000</v>
      </c>
      <c r="M239" s="322"/>
      <c r="N239" s="880">
        <v>22000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IFERROR(__xludf.DUMMYFUNCTION("IMPORTRANGE(""https://docs.google.com/spreadsheets/d/1QqKyyYR6Q21VydFLVH3TRQUabQu_ym0Zz7PgGX0-kHA/edit?usp=sharing"",""แผน!AW51"")"),44400)</f>
        <v>44400</v>
      </c>
      <c r="M240" s="322"/>
      <c r="N240" s="880">
        <v>44000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IFERROR(__xludf.DUMMYFUNCTION("IMPORTRANGE(""https://docs.google.com/spreadsheets/d/1QqKyyYR6Q21VydFLVH3TRQUabQu_ym0Zz7PgGX0-kHA/edit?usp=sharing"",""แผน!AY51"")"),10000)</f>
        <v>10000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IFERROR(__xludf.DUMMYFUNCTION("IMPORTRANGE(""https://docs.google.com/spreadsheets/d/1QqKyyYR6Q21VydFLVH3TRQUabQu_ym0Zz7PgGX0-kHA/edit?usp=sharing"",""แผน!BE51"")"),40)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340"/>
      <c r="B248" s="341"/>
      <c r="C248" s="342" t="s">
        <v>359</v>
      </c>
      <c r="D248" s="343"/>
      <c r="E248" s="343"/>
      <c r="F248" s="343"/>
      <c r="G248" s="344"/>
      <c r="H248" s="266" t="s">
        <v>35</v>
      </c>
      <c r="I248" s="345">
        <f t="shared" ref="I248:J248" ca="1" si="113">I255</f>
        <v>0</v>
      </c>
      <c r="J248" s="345">
        <f t="shared" si="113"/>
        <v>0</v>
      </c>
      <c r="K248" s="346">
        <f t="shared" ca="1" si="112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921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223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93">
        <f ca="1">IFERROR(__xludf.DUMMYFUNCTION("IMPORTRANGE(""https://docs.google.com/spreadsheets/d/1QqKyyYR6Q21VydFLVH3TRQUabQu_ym0Zz7PgGX0-kHA/edit?usp=sharing"",""แผน!AZ51"")"),0)</f>
        <v>0</v>
      </c>
      <c r="M250" s="93"/>
      <c r="N250" s="358">
        <v>0</v>
      </c>
      <c r="O250" s="93"/>
      <c r="P250" s="93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615"/>
      <c r="J251" s="615"/>
      <c r="K251" s="93"/>
      <c r="L251" s="93">
        <f ca="1">IFERROR(__xludf.DUMMYFUNCTION("IMPORTRANGE(""https://docs.google.com/spreadsheets/d/1QqKyyYR6Q21VydFLVH3TRQUabQu_ym0Zz7PgGX0-kHA/edit?usp=sharing"",""แผน!BA51"")"),0)</f>
        <v>0</v>
      </c>
      <c r="M251" s="93"/>
      <c r="N251" s="358">
        <v>0</v>
      </c>
      <c r="O251" s="93"/>
      <c r="P251" s="93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615"/>
      <c r="J252" s="615"/>
      <c r="K252" s="93"/>
      <c r="L252" s="93">
        <f ca="1">IFERROR(__xludf.DUMMYFUNCTION("IMPORTRANGE(""https://docs.google.com/spreadsheets/d/1QqKyyYR6Q21VydFLVH3TRQUabQu_ym0Zz7PgGX0-kHA/edit?usp=sharing"",""แผน!BB51"")"),0)</f>
        <v>0</v>
      </c>
      <c r="M252" s="93"/>
      <c r="N252" s="358">
        <v>0</v>
      </c>
      <c r="O252" s="93"/>
      <c r="P252" s="93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615"/>
      <c r="J253" s="615"/>
      <c r="K253" s="93"/>
      <c r="L253" s="93">
        <f ca="1">IFERROR(__xludf.DUMMYFUNCTION("IMPORTRANGE(""https://docs.google.com/spreadsheets/d/1QqKyyYR6Q21VydFLVH3TRQUabQu_ym0Zz7PgGX0-kHA/edit?usp=sharing"",""แผน!BC51"")"),0)</f>
        <v>0</v>
      </c>
      <c r="M253" s="93"/>
      <c r="N253" s="358">
        <v>0</v>
      </c>
      <c r="O253" s="93"/>
      <c r="P253" s="93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615"/>
      <c r="K254" s="93"/>
      <c r="L254" s="93"/>
      <c r="M254" s="93"/>
      <c r="N254" s="93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73"/>
      <c r="F255" s="373"/>
      <c r="G255" s="369"/>
      <c r="H255" s="370" t="s">
        <v>35</v>
      </c>
      <c r="I255" s="615">
        <f ca="1">IFERROR(__xludf.DUMMYFUNCTION("IMPORTRANGE(""https://docs.google.com/spreadsheets/d/1QqKyyYR6Q21VydFLVH3TRQUabQu_ym0Zz7PgGX0-kHA/edit?usp=sharing"",""แผน!BF51"")"),0)</f>
        <v>0</v>
      </c>
      <c r="J255" s="371">
        <v>0</v>
      </c>
      <c r="K255" s="93">
        <f ca="1">IF(I255&gt;0,J255*100/I255,0)</f>
        <v>0</v>
      </c>
      <c r="L255" s="93"/>
      <c r="M255" s="93"/>
      <c r="N255" s="93"/>
      <c r="O255" s="93"/>
      <c r="P255" s="93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73"/>
      <c r="G256" s="369"/>
      <c r="H256" s="370"/>
      <c r="I256" s="615"/>
      <c r="J256" s="615"/>
      <c r="K256" s="93"/>
      <c r="L256" s="93"/>
      <c r="M256" s="93"/>
      <c r="N256" s="93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73"/>
      <c r="G257" s="369"/>
      <c r="H257" s="370" t="s">
        <v>35</v>
      </c>
      <c r="I257" s="615"/>
      <c r="J257" s="371">
        <v>0</v>
      </c>
      <c r="K257" s="93">
        <f t="shared" ref="K257:K258" si="114">IF(I257&gt;0,J257*100/I257,0)</f>
        <v>0</v>
      </c>
      <c r="L257" s="93"/>
      <c r="M257" s="93"/>
      <c r="N257" s="93"/>
      <c r="O257" s="93"/>
      <c r="P257" s="93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374" t="s">
        <v>119</v>
      </c>
      <c r="F258" s="373"/>
      <c r="G258" s="369"/>
      <c r="H258" s="370" t="s">
        <v>66</v>
      </c>
      <c r="I258" s="615"/>
      <c r="J258" s="371">
        <v>0</v>
      </c>
      <c r="K258" s="93">
        <f t="shared" si="114"/>
        <v>0</v>
      </c>
      <c r="L258" s="93"/>
      <c r="M258" s="93"/>
      <c r="N258" s="93"/>
      <c r="O258" s="93"/>
      <c r="P258" s="93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IFERROR(__xludf.DUMMYFUNCTION("IMPORTRANGE(""https://docs.google.com/spreadsheets/d/1MeEWN-I1oV_STSDYn1IFDPWt_1FKiwhDph83XaGc0o0/edit?usp=sharing"",""งบพรบ!CY51"")"),28800)</f>
        <v>28800</v>
      </c>
      <c r="M266" s="93">
        <f ca="1">IFERROR(__xludf.DUMMYFUNCTION("IMPORTRANGE(""https://docs.google.com/spreadsheets/d/1MeEWN-I1oV_STSDYn1IFDPWt_1FKiwhDph83XaGc0o0/edit?usp=sharing"",""งบพรบ!DD51"")"),25800)</f>
        <v>25800</v>
      </c>
      <c r="N266" s="93">
        <f ca="1">IFERROR(__xludf.DUMMYFUNCTION("IMPORTRANGE(""https://docs.google.com/spreadsheets/d/1MeEWN-I1oV_STSDYn1IFDPWt_1FKiwhDph83XaGc0o0/edit?usp=sharing"",""งบพรบ!DF51"")"),25800)</f>
        <v>25800</v>
      </c>
      <c r="O266" s="93">
        <f t="shared" ca="1" si="117"/>
        <v>89.583333333333329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IFERROR(__xludf.DUMMYFUNCTION("IMPORTRANGE(""https://docs.google.com/spreadsheets/d/1MeEWN-I1oV_STSDYn1IFDPWt_1FKiwhDph83XaGc0o0/edit?usp=sharing"",""งบพรบ!DB51"")"),0)</f>
        <v>0</v>
      </c>
      <c r="M269" s="93">
        <f ca="1">IFERROR(__xludf.DUMMYFUNCTION("IMPORTRANGE(""https://docs.google.com/spreadsheets/d/1MeEWN-I1oV_STSDYn1IFDPWt_1FKiwhDph83XaGc0o0/edit?usp=sharing"",""งบพรบ!DE51"")"),0)</f>
        <v>0</v>
      </c>
      <c r="N269" s="93">
        <f ca="1">IFERROR(__xludf.DUMMYFUNCTION("IMPORTRANGE(""https://docs.google.com/spreadsheets/d/1MeEWN-I1oV_STSDYn1IFDPWt_1FKiwhDph83XaGc0o0/edit?usp=sharing"",""งบพรบ!DG51"")"),0)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IFERROR(__xludf.DUMMYFUNCTION("IMPORTRANGE(""https://docs.google.com/spreadsheets/d/1QqKyyYR6Q21VydFLVH3TRQUabQu_ym0Zz7PgGX0-kHA/edit?usp=sharing"",""แผน!EA51"")"),24)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37105.9</v>
      </c>
      <c r="O277" s="155">
        <f t="shared" ref="O277:O285" ca="1" si="126">IF(L277&gt;0,N277*100/L277,0)</f>
        <v>49.055922792173455</v>
      </c>
      <c r="P277" s="155">
        <f t="shared" ref="P277:P285" ca="1" si="127">IF(M277&gt;0,N277*100/M277,0)</f>
        <v>98.896321961620473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37105.9</v>
      </c>
      <c r="O279" s="93">
        <f t="shared" ca="1" si="126"/>
        <v>49.055922792173455</v>
      </c>
      <c r="P279" s="93">
        <f t="shared" ca="1" si="127"/>
        <v>98.896321961620473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37520</v>
      </c>
      <c r="N280" s="497">
        <f t="shared" ca="1" si="129"/>
        <v>37105.9</v>
      </c>
      <c r="O280" s="497">
        <f t="shared" ca="1" si="126"/>
        <v>49.055922792173455</v>
      </c>
      <c r="P280" s="497">
        <f t="shared" ca="1" si="127"/>
        <v>98.896321961620473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IFERROR(__xludf.DUMMYFUNCTION("IMPORTRANGE(""https://docs.google.com/spreadsheets/d/1MeEWN-I1oV_STSDYn1IFDPWt_1FKiwhDph83XaGc0o0/edit?usp=sharing"",""งบพรบ!DI51"")"),75640)</f>
        <v>75640</v>
      </c>
      <c r="M282" s="93">
        <f ca="1">IFERROR(__xludf.DUMMYFUNCTION("IMPORTRANGE(""https://docs.google.com/spreadsheets/d/1MeEWN-I1oV_STSDYn1IFDPWt_1FKiwhDph83XaGc0o0/edit?usp=sharing"",""งบพรบ!DN51"")"),37520)</f>
        <v>37520</v>
      </c>
      <c r="N282" s="93">
        <f ca="1">IFERROR(__xludf.DUMMYFUNCTION("IMPORTRANGE(""https://docs.google.com/spreadsheets/d/1MeEWN-I1oV_STSDYn1IFDPWt_1FKiwhDph83XaGc0o0/edit?usp=sharing"",""งบพรบ!DP51"")"),37105.9)</f>
        <v>37105.9</v>
      </c>
      <c r="O282" s="93">
        <f t="shared" ca="1" si="126"/>
        <v>49.055922792173455</v>
      </c>
      <c r="P282" s="93">
        <f t="shared" ca="1" si="127"/>
        <v>98.896321961620473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IFERROR(__xludf.DUMMYFUNCTION("IMPORTRANGE(""https://docs.google.com/spreadsheets/d/1MeEWN-I1oV_STSDYn1IFDPWt_1FKiwhDph83XaGc0o0/edit?usp=sharing"",""งบพรบ!DL51"")"),0)</f>
        <v>0</v>
      </c>
      <c r="M285" s="93">
        <f ca="1">IFERROR(__xludf.DUMMYFUNCTION("IMPORTRANGE(""https://docs.google.com/spreadsheets/d/1MeEWN-I1oV_STSDYn1IFDPWt_1FKiwhDph83XaGc0o0/edit?usp=sharing"",""งบพรบ!DO51"")"),0)</f>
        <v>0</v>
      </c>
      <c r="N285" s="93">
        <f ca="1">IFERROR(__xludf.DUMMYFUNCTION("IMPORTRANGE(""https://docs.google.com/spreadsheets/d/1MeEWN-I1oV_STSDYn1IFDPWt_1FKiwhDph83XaGc0o0/edit?usp=sharing"",""งบพรบ!DQ51"")"),0)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IFERROR(__xludf.DUMMYFUNCTION("IMPORTRANGE(""https://docs.google.com/spreadsheets/d/1QqKyyYR6Q21VydFLVH3TRQUabQu_ym0Zz7PgGX0-kHA/edit?usp=sharing"",""แผน!EC51"")"),200)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IFERROR(__xludf.DUMMYFUNCTION("IMPORTRANGE(""https://docs.google.com/spreadsheets/d/1QqKyyYR6Q21VydFLVH3TRQUabQu_ym0Zz7PgGX0-kHA/edit?usp=sharing"",""แผน!EB51"")"),20)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IFERROR(__xludf.DUMMYFUNCTION("IMPORTRANGE(""https://docs.google.com/spreadsheets/d/1QqKyyYR6Q21VydFLVH3TRQUabQu_ym0Zz7PgGX0-kHA/edit?usp=sharing"",""แผน!EB51"")"),20)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IFERROR(__xludf.DUMMYFUNCTION("IMPORTRANGE(""https://docs.google.com/spreadsheets/d/1QqKyyYR6Q21VydFLVH3TRQUabQu_ym0Zz7PgGX0-kHA/edit?usp=sharing"",""แผน!EB51"")"),20)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IFERROR(__xludf.DUMMYFUNCTION("IMPORTRANGE(""https://docs.google.com/spreadsheets/d/1QqKyyYR6Q21VydFLVH3TRQUabQu_ym0Zz7PgGX0-kHA/edit?usp=sharing"",""แผน!EB51"")"),20)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IFERROR(__xludf.DUMMYFUNCTION("IMPORTRANGE(""https://docs.google.com/spreadsheets/d/1QqKyyYR6Q21VydFLVH3TRQUabQu_ym0Zz7PgGX0-kHA/edit?usp=sharing"",""แผน!EB51"")"),20)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198940.1</v>
      </c>
      <c r="O298" s="155">
        <f t="shared" ref="O298:O306" ca="1" si="136">IF(L298&gt;0,N298*100/L298,0)</f>
        <v>54.001112920738329</v>
      </c>
      <c r="P298" s="155">
        <f t="shared" ref="P298:P306" ca="1" si="137">IF(M298&gt;0,N298*100/M298,0)</f>
        <v>73.032342143906021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198940.1</v>
      </c>
      <c r="O300" s="93">
        <f t="shared" ca="1" si="136"/>
        <v>54.001112920738329</v>
      </c>
      <c r="P300" s="93">
        <f t="shared" ca="1" si="137"/>
        <v>73.032342143906021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272400</v>
      </c>
      <c r="N301" s="497">
        <f t="shared" ca="1" si="139"/>
        <v>198940.1</v>
      </c>
      <c r="O301" s="497">
        <f t="shared" ca="1" si="136"/>
        <v>54.001112920738329</v>
      </c>
      <c r="P301" s="497">
        <f t="shared" ca="1" si="137"/>
        <v>73.032342143906021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IFERROR(__xludf.DUMMYFUNCTION("IMPORTRANGE(""https://docs.google.com/spreadsheets/d/1MeEWN-I1oV_STSDYn1IFDPWt_1FKiwhDph83XaGc0o0/edit?usp=sharing"",""งบพรบ!DS51"")"),368400)</f>
        <v>368400</v>
      </c>
      <c r="M303" s="93">
        <f ca="1">IFERROR(__xludf.DUMMYFUNCTION("IMPORTRANGE(""https://docs.google.com/spreadsheets/d/1MeEWN-I1oV_STSDYn1IFDPWt_1FKiwhDph83XaGc0o0/edit?usp=sharing"",""งบพรบ!DX51"")"),272400)</f>
        <v>272400</v>
      </c>
      <c r="N303" s="93">
        <f ca="1">IFERROR(__xludf.DUMMYFUNCTION("IMPORTRANGE(""https://docs.google.com/spreadsheets/d/1MeEWN-I1oV_STSDYn1IFDPWt_1FKiwhDph83XaGc0o0/edit?usp=sharing"",""งบพรบ!DZ51"")"),198940.1)</f>
        <v>198940.1</v>
      </c>
      <c r="O303" s="93">
        <f t="shared" ca="1" si="136"/>
        <v>54.001112920738329</v>
      </c>
      <c r="P303" s="93">
        <f t="shared" ca="1" si="137"/>
        <v>73.032342143906021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IFERROR(__xludf.DUMMYFUNCTION("IMPORTRANGE(""https://docs.google.com/spreadsheets/d/1MeEWN-I1oV_STSDYn1IFDPWt_1FKiwhDph83XaGc0o0/edit?usp=sharing"",""งบพรบ!DV51"")"),0)</f>
        <v>0</v>
      </c>
      <c r="M306" s="93">
        <f ca="1">IFERROR(__xludf.DUMMYFUNCTION("IMPORTRANGE(""https://docs.google.com/spreadsheets/d/1MeEWN-I1oV_STSDYn1IFDPWt_1FKiwhDph83XaGc0o0/edit?usp=sharing"",""งบพรบ!DY51"")"),0)</f>
        <v>0</v>
      </c>
      <c r="N306" s="93">
        <f ca="1">IFERROR(__xludf.DUMMYFUNCTION("IMPORTRANGE(""https://docs.google.com/spreadsheets/d/1MeEWN-I1oV_STSDYn1IFDPWt_1FKiwhDph83XaGc0o0/edit?usp=sharing"",""งบพรบ!EA51"")"),0)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IFERROR(__xludf.DUMMYFUNCTION("IMPORTRANGE(""https://docs.google.com/spreadsheets/d/1QqKyyYR6Q21VydFLVH3TRQUabQu_ym0Zz7PgGX0-kHA/edit?usp=sharing"",""แผน!ED51"")"),20)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IFERROR(__xludf.DUMMYFUNCTION("IMPORTRANGE(""https://docs.google.com/spreadsheets/d/1MeEWN-I1oV_STSDYn1IFDPWt_1FKiwhDph83XaGc0o0/edit?usp=sharing"",""งบพรบ!EC51"")"),0)</f>
        <v>0</v>
      </c>
      <c r="M320" s="93">
        <f ca="1">IFERROR(__xludf.DUMMYFUNCTION("IMPORTRANGE(""https://docs.google.com/spreadsheets/d/1MeEWN-I1oV_STSDYn1IFDPWt_1FKiwhDph83XaGc0o0/edit?usp=sharing"",""งบพรบ!EH51"")"),0)</f>
        <v>0</v>
      </c>
      <c r="N320" s="93">
        <f ca="1">IFERROR(__xludf.DUMMYFUNCTION("IMPORTRANGE(""https://docs.google.com/spreadsheets/d/1MeEWN-I1oV_STSDYn1IFDPWt_1FKiwhDph83XaGc0o0/edit?usp=sharing"",""งบพรบ!EJ51"")"),0)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IFERROR(__xludf.DUMMYFUNCTION("IMPORTRANGE(""https://docs.google.com/spreadsheets/d/1MeEWN-I1oV_STSDYn1IFDPWt_1FKiwhDph83XaGc0o0/edit?usp=sharing"",""งบพรบ!EF51"")"),0)</f>
        <v>0</v>
      </c>
      <c r="M323" s="93">
        <f ca="1">IFERROR(__xludf.DUMMYFUNCTION("IMPORTRANGE(""https://docs.google.com/spreadsheets/d/1MeEWN-I1oV_STSDYn1IFDPWt_1FKiwhDph83XaGc0o0/edit?usp=sharing"",""งบพรบ!EI51"")"),0)</f>
        <v>0</v>
      </c>
      <c r="N323" s="93">
        <f ca="1">IFERROR(__xludf.DUMMYFUNCTION("IMPORTRANGE(""https://docs.google.com/spreadsheets/d/1MeEWN-I1oV_STSDYn1IFDPWt_1FKiwhDph83XaGc0o0/edit?usp=sharing"",""งบพรบ!EK51"")"),0)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IFERROR(__xludf.DUMMYFUNCTION("IMPORTRANGE(""https://docs.google.com/spreadsheets/d/1QqKyyYR6Q21VydFLVH3TRQUabQu_ym0Zz7PgGX0-kHA/edit?usp=sharing"",""แผน!EG51"")"),6500)</f>
        <v>6500</v>
      </c>
      <c r="J327" s="444">
        <f ca="1">J338+J341+J342+J343</f>
        <v>11720</v>
      </c>
      <c r="K327" s="445">
        <f ca="1">IF(I327&gt;0,J327*100/I327,0)</f>
        <v>180.30769230769232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188000</v>
      </c>
      <c r="M328" s="155">
        <f t="shared" ca="1" si="149"/>
        <v>143500</v>
      </c>
      <c r="N328" s="155">
        <f t="shared" ca="1" si="149"/>
        <v>103470.8</v>
      </c>
      <c r="O328" s="155">
        <f t="shared" ref="O328:O336" ca="1" si="150">IF(L328&gt;0,N328*100/L328,0)</f>
        <v>55.037659574468087</v>
      </c>
      <c r="P328" s="155">
        <f t="shared" ref="P328:P336" ca="1" si="151">IF(M328&gt;0,N328*100/M328,0)</f>
        <v>72.105087108013933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188000</v>
      </c>
      <c r="M330" s="93">
        <f t="shared" ca="1" si="152"/>
        <v>143500</v>
      </c>
      <c r="N330" s="93">
        <f t="shared" ca="1" si="152"/>
        <v>103470.8</v>
      </c>
      <c r="O330" s="93">
        <f t="shared" ca="1" si="150"/>
        <v>55.037659574468087</v>
      </c>
      <c r="P330" s="93">
        <f t="shared" ca="1" si="151"/>
        <v>72.105087108013933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188000</v>
      </c>
      <c r="M331" s="497">
        <f t="shared" ca="1" si="153"/>
        <v>143500</v>
      </c>
      <c r="N331" s="497">
        <f t="shared" ca="1" si="153"/>
        <v>103470.8</v>
      </c>
      <c r="O331" s="497">
        <f t="shared" ca="1" si="150"/>
        <v>55.037659574468087</v>
      </c>
      <c r="P331" s="497">
        <f t="shared" ca="1" si="151"/>
        <v>72.105087108013933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IFERROR(__xludf.DUMMYFUNCTION("IMPORTRANGE(""https://docs.google.com/spreadsheets/d/1MeEWN-I1oV_STSDYn1IFDPWt_1FKiwhDph83XaGc0o0/edit?usp=sharing"",""งบพรบ!EM51"")"),188000)</f>
        <v>188000</v>
      </c>
      <c r="M333" s="93">
        <f ca="1">IFERROR(__xludf.DUMMYFUNCTION("IMPORTRANGE(""https://docs.google.com/spreadsheets/d/1MeEWN-I1oV_STSDYn1IFDPWt_1FKiwhDph83XaGc0o0/edit?usp=sharing"",""งบพรบ!ER51"")"),143500)</f>
        <v>143500</v>
      </c>
      <c r="N333" s="93">
        <f ca="1">IFERROR(__xludf.DUMMYFUNCTION("IMPORTRANGE(""https://docs.google.com/spreadsheets/d/1MeEWN-I1oV_STSDYn1IFDPWt_1FKiwhDph83XaGc0o0/edit?usp=sharing"",""งบพรบ!ET51"")"),103470.8)</f>
        <v>103470.8</v>
      </c>
      <c r="O333" s="93">
        <f t="shared" ca="1" si="150"/>
        <v>55.037659574468087</v>
      </c>
      <c r="P333" s="93">
        <f t="shared" ca="1" si="151"/>
        <v>72.105087108013933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IFERROR(__xludf.DUMMYFUNCTION("IMPORTRANGE(""https://docs.google.com/spreadsheets/d/1MeEWN-I1oV_STSDYn1IFDPWt_1FKiwhDph83XaGc0o0/edit?usp=sharing"",""งบพรบ!EP51"")"),0)</f>
        <v>0</v>
      </c>
      <c r="M336" s="93">
        <f ca="1">IFERROR(__xludf.DUMMYFUNCTION("IMPORTRANGE(""https://docs.google.com/spreadsheets/d/1MeEWN-I1oV_STSDYn1IFDPWt_1FKiwhDph83XaGc0o0/edit?usp=sharing"",""งบพรบ!ES51"")"),0)</f>
        <v>0</v>
      </c>
      <c r="N336" s="93">
        <f ca="1">IFERROR(__xludf.DUMMYFUNCTION("IMPORTRANGE(""https://docs.google.com/spreadsheets/d/1MeEWN-I1oV_STSDYn1IFDPWt_1FKiwhDph83XaGc0o0/edit?usp=sharing"",""งบพรบ!EU51"")"),0)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IFERROR(__xludf.DUMMYFUNCTION("IMPORTRANGE(""https://docs.google.com/spreadsheets/d/1QqKyyYR6Q21VydFLVH3TRQUabQu_ym0Zz7PgGX0-kHA/edit?usp=sharing"",""แผน!EG51"")"),6500)</f>
        <v>6500</v>
      </c>
      <c r="J338" s="270">
        <f ca="1">IFERROR(__xludf.DUMMYFUNCTION("IMPORTRANGE(""https://docs.google.com/spreadsheets/d/1kVcqe37tkHyjCSG3S0O1AXqVkqjo8mSIZil3BcpIysc/edit?usp=sharing"",""ศูนย์!D51"")"),11023)</f>
        <v>11023</v>
      </c>
      <c r="K338" s="497">
        <f ca="1">IF(I338&gt;0,J338*100/I338,0)</f>
        <v>169.58461538461538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IFERROR(__xludf.DUMMYFUNCTION("IMPORTRANGE(""https://docs.google.com/spreadsheets/d/1QqKyyYR6Q21VydFLVH3TRQUabQu_ym0Zz7PgGX0-kHA/edit?usp=sharing"",""แผน!EH51"")"),10)</f>
        <v>10</v>
      </c>
      <c r="J340" s="270">
        <f ca="1">IFERROR(__xludf.DUMMYFUNCTION("IMPORTRANGE(""https://docs.google.com/spreadsheets/d/1kVcqe37tkHyjCSG3S0O1AXqVkqjo8mSIZil3BcpIysc/edit?usp=sharing"",""ศูนย์!E51"")"),5)</f>
        <v>5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IFERROR(__xludf.DUMMYFUNCTION("IMPORTRANGE(""https://docs.google.com/spreadsheets/d/1kVcqe37tkHyjCSG3S0O1AXqVkqjo8mSIZil3BcpIysc/edit?usp=sharing"",""ศูนย์!F51"")"),402)</f>
        <v>402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IFERROR(__xludf.DUMMYFUNCTION("IMPORTRANGE(""https://docs.google.com/spreadsheets/d/1kVcqe37tkHyjCSG3S0O1AXqVkqjo8mSIZil3BcpIysc/edit?usp=sharing"",""ศูนย์!G51"")"),8)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IFERROR(__xludf.DUMMYFUNCTION("IMPORTRANGE(""https://docs.google.com/spreadsheets/d/1kVcqe37tkHyjCSG3S0O1AXqVkqjo8mSIZil3BcpIysc/edit?usp=sharing"",""ศูนย์!H51"")"),287)</f>
        <v>287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2256200</v>
      </c>
      <c r="M345" s="155">
        <f t="shared" ca="1" si="155"/>
        <v>1937650</v>
      </c>
      <c r="N345" s="155">
        <f t="shared" ca="1" si="155"/>
        <v>1372848</v>
      </c>
      <c r="O345" s="155">
        <f t="shared" ref="O345:O353" ca="1" si="156">IF(L345&gt;0,N345*100/L345,0)</f>
        <v>60.847797181100965</v>
      </c>
      <c r="P345" s="155">
        <f t="shared" ref="P345:P353" ca="1" si="157">IF(M345&gt;0,N345*100/M345,0)</f>
        <v>70.851185714654349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2256200</v>
      </c>
      <c r="M347" s="93">
        <f t="shared" ca="1" si="158"/>
        <v>1937650</v>
      </c>
      <c r="N347" s="93">
        <f t="shared" ca="1" si="158"/>
        <v>1372848</v>
      </c>
      <c r="O347" s="93">
        <f t="shared" ca="1" si="156"/>
        <v>60.847797181100965</v>
      </c>
      <c r="P347" s="93">
        <f t="shared" ca="1" si="157"/>
        <v>70.851185714654349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2180200</v>
      </c>
      <c r="M348" s="497">
        <f t="shared" ca="1" si="159"/>
        <v>1861650</v>
      </c>
      <c r="N348" s="497">
        <f t="shared" ca="1" si="159"/>
        <v>1296848</v>
      </c>
      <c r="O348" s="497">
        <f t="shared" ca="1" si="156"/>
        <v>59.482983212549307</v>
      </c>
      <c r="P348" s="497">
        <f t="shared" ca="1" si="157"/>
        <v>69.661214514006389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IFERROR(__xludf.DUMMYFUNCTION("IMPORTRANGE(""https://docs.google.com/spreadsheets/d/1MeEWN-I1oV_STSDYn1IFDPWt_1FKiwhDph83XaGc0o0/edit?usp=sharing"",""งบพรบ!EW51"")"),2180200)</f>
        <v>2180200</v>
      </c>
      <c r="M350" s="93">
        <f ca="1">IFERROR(__xludf.DUMMYFUNCTION("IMPORTRANGE(""https://docs.google.com/spreadsheets/d/1MeEWN-I1oV_STSDYn1IFDPWt_1FKiwhDph83XaGc0o0/edit?usp=sharing"",""งบพรบ!FB51"")"),1861650)</f>
        <v>1861650</v>
      </c>
      <c r="N350" s="93">
        <f ca="1">IFERROR(__xludf.DUMMYFUNCTION("IMPORTRANGE(""https://docs.google.com/spreadsheets/d/1MeEWN-I1oV_STSDYn1IFDPWt_1FKiwhDph83XaGc0o0/edit?usp=sharing"",""งบพรบ!FD51"")"),1296848)</f>
        <v>1296848</v>
      </c>
      <c r="O350" s="93">
        <f t="shared" ca="1" si="156"/>
        <v>59.482983212549307</v>
      </c>
      <c r="P350" s="93">
        <f t="shared" ca="1" si="157"/>
        <v>69.661214514006389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76000</v>
      </c>
      <c r="N351" s="497">
        <f t="shared" ca="1" si="160"/>
        <v>76000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IFERROR(__xludf.DUMMYFUNCTION("IMPORTRANGE(""https://docs.google.com/spreadsheets/d/1MeEWN-I1oV_STSDYn1IFDPWt_1FKiwhDph83XaGc0o0/edit?usp=sharing"",""งบพรบ!EZ51"")"),76000)</f>
        <v>76000</v>
      </c>
      <c r="M353" s="93">
        <f ca="1">IFERROR(__xludf.DUMMYFUNCTION("IMPORTRANGE(""https://docs.google.com/spreadsheets/d/1MeEWN-I1oV_STSDYn1IFDPWt_1FKiwhDph83XaGc0o0/edit?usp=sharing"",""งบพรบ!FC51"")"),76000)</f>
        <v>76000</v>
      </c>
      <c r="N353" s="93">
        <f ca="1">IFERROR(__xludf.DUMMYFUNCTION("IMPORTRANGE(""https://docs.google.com/spreadsheets/d/1MeEWN-I1oV_STSDYn1IFDPWt_1FKiwhDph83XaGc0o0/edit?usp=sharing"",""งบพรบ!FE51"")"),76000)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IFERROR(__xludf.DUMMYFUNCTION("IMPORTRANGE(""https://docs.google.com/spreadsheets/d/1QqKyyYR6Q21VydFLVH3TRQUabQu_ym0Zz7PgGX0-kHA/edit?usp=sharing"",""แผน!EP51"")"),1600)</f>
        <v>1600</v>
      </c>
      <c r="J355" s="464">
        <f ca="1">J362</f>
        <v>209</v>
      </c>
      <c r="K355" s="465">
        <f ca="1">IF(I355&gt;0,J355*100/I355,0)</f>
        <v>13.0625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IFERROR(__xludf.DUMMYFUNCTION("IMPORTRANGE(""https://docs.google.com/spreadsheets/d/1XWAQStnk-4SwqDmLtmXYiTMKHgktTP8We1SCoS47DrQ/edit?usp=sharing"",""จัดที่ดิน!W51"")"),921)</f>
        <v>921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IFERROR(__xludf.DUMMYFUNCTION("IMPORTRANGE(""https://docs.google.com/spreadsheets/d/1QqKyyYR6Q21VydFLVH3TRQUabQu_ym0Zz7PgGX0-kHA/edit?usp=sharing"",""แผน!EO51"")"),16000)</f>
        <v>16000</v>
      </c>
      <c r="J359" s="270">
        <f ca="1">IFERROR(__xludf.DUMMYFUNCTION("IMPORTRANGE(""https://docs.google.com/spreadsheets/d/1XWAQStnk-4SwqDmLtmXYiTMKHgktTP8We1SCoS47DrQ/edit?usp=sharing"",""จัดที่ดิน!X51"")"),7771.44)</f>
        <v>7771.44</v>
      </c>
      <c r="K359" s="497">
        <f t="shared" ca="1" si="161"/>
        <v>48.5715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IFERROR(__xludf.DUMMYFUNCTION("IMPORTRANGE(""https://docs.google.com/spreadsheets/d/1QqKyyYR6Q21VydFLVH3TRQUabQu_ym0Zz7PgGX0-kHA/edit?usp=sharing"",""แผน!EP51"")"),1600)</f>
        <v>1600</v>
      </c>
      <c r="J360" s="270">
        <f ca="1">IFERROR(__xludf.DUMMYFUNCTION("IMPORTRANGE(""https://docs.google.com/spreadsheets/d/1XWAQStnk-4SwqDmLtmXYiTMKHgktTP8We1SCoS47DrQ/edit?usp=sharing"",""จัดที่ดิน!Y51"")"),786)</f>
        <v>786</v>
      </c>
      <c r="K360" s="497">
        <f t="shared" ca="1" si="161"/>
        <v>49.125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IFERROR(__xludf.DUMMYFUNCTION("IMPORTRANGE(""https://docs.google.com/spreadsheets/d/1XWAQStnk-4SwqDmLtmXYiTMKHgktTP8We1SCoS47DrQ/edit?usp=sharing"",""จัดที่ดิน!Z51"")"),7008.91)</f>
        <v>7008.91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IFERROR(__xludf.DUMMYFUNCTION("IMPORTRANGE(""https://docs.google.com/spreadsheets/d/1QqKyyYR6Q21VydFLVH3TRQUabQu_ym0Zz7PgGX0-kHA/edit?usp=sharing"",""แผน!EP51"")"),1600)</f>
        <v>1600</v>
      </c>
      <c r="J362" s="270">
        <f ca="1">IFERROR(__xludf.DUMMYFUNCTION("IMPORTRANGE(""https://docs.google.com/spreadsheets/d/1XWAQStnk-4SwqDmLtmXYiTMKHgktTP8We1SCoS47DrQ/edit?usp=sharing"",""จัดที่ดิน!AA51"")"),209)</f>
        <v>209</v>
      </c>
      <c r="K362" s="497">
        <f t="shared" ca="1" si="161"/>
        <v>13.0625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IFERROR(__xludf.DUMMYFUNCTION("IMPORTRANGE(""https://docs.google.com/spreadsheets/d/1XWAQStnk-4SwqDmLtmXYiTMKHgktTP8We1SCoS47DrQ/edit?usp=sharing"",""จัดที่ดิน!AB51"")"),1752.45)</f>
        <v>1752.45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1800</v>
      </c>
      <c r="J364" s="478">
        <f t="shared" ca="1" si="162"/>
        <v>508</v>
      </c>
      <c r="K364" s="479">
        <f t="shared" ca="1" si="161"/>
        <v>28.222222222222221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IFERROR(__xludf.DUMMYFUNCTION("IMPORTRANGE(""https://docs.google.com/spreadsheets/d/1QqKyyYR6Q21VydFLVH3TRQUabQu_ym0Zz7PgGX0-kHA/edit?usp=sharing"",""แผน!EJ51"")"),300)</f>
        <v>300</v>
      </c>
      <c r="J365" s="490">
        <f ca="1">J372</f>
        <v>89</v>
      </c>
      <c r="K365" s="491">
        <f t="shared" ca="1" si="161"/>
        <v>29.666666666666668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IFERROR(__xludf.DUMMYFUNCTION("IMPORTRANGE(""https://docs.google.com/spreadsheets/d/1XWAQStnk-4SwqDmLtmXYiTMKHgktTP8We1SCoS47DrQ/edit?usp=sharing"",""จัดที่ดิน!E51"")"),316)</f>
        <v>316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IFERROR(__xludf.DUMMYFUNCTION("IMPORTRANGE(""https://docs.google.com/spreadsheets/d/1QqKyyYR6Q21VydFLVH3TRQUabQu_ym0Zz7PgGX0-kHA/edit?usp=sharing"",""แผน!EI51"")"),3000)</f>
        <v>3000</v>
      </c>
      <c r="J369" s="270">
        <f ca="1">IFERROR(__xludf.DUMMYFUNCTION("IMPORTRANGE(""https://docs.google.com/spreadsheets/d/1XWAQStnk-4SwqDmLtmXYiTMKHgktTP8We1SCoS47DrQ/edit?usp=sharing"",""จัดที่ดิน!F51"")"),1994.82)</f>
        <v>1994.82</v>
      </c>
      <c r="K369" s="497">
        <f t="shared" ca="1" si="163"/>
        <v>66.494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IFERROR(__xludf.DUMMYFUNCTION("IMPORTRANGE(""https://docs.google.com/spreadsheets/d/1QqKyyYR6Q21VydFLVH3TRQUabQu_ym0Zz7PgGX0-kHA/edit?usp=sharing"",""แผน!EJ51"")"),300)</f>
        <v>300</v>
      </c>
      <c r="J370" s="270">
        <f ca="1">IFERROR(__xludf.DUMMYFUNCTION("IMPORTRANGE(""https://docs.google.com/spreadsheets/d/1XWAQStnk-4SwqDmLtmXYiTMKHgktTP8We1SCoS47DrQ/edit?usp=sharing"",""จัดที่ดิน!G51"")"),181)</f>
        <v>181</v>
      </c>
      <c r="K370" s="497">
        <f t="shared" ca="1" si="163"/>
        <v>60.333333333333336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IFERROR(__xludf.DUMMYFUNCTION("IMPORTRANGE(""https://docs.google.com/spreadsheets/d/1XWAQStnk-4SwqDmLtmXYiTMKHgktTP8We1SCoS47DrQ/edit?usp=sharing"",""จัดที่ดิน!H51"")"),1258.12)</f>
        <v>1258.1199999999999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IFERROR(__xludf.DUMMYFUNCTION("IMPORTRANGE(""https://docs.google.com/spreadsheets/d/1QqKyyYR6Q21VydFLVH3TRQUabQu_ym0Zz7PgGX0-kHA/edit?usp=sharing"",""แผน!EJ51"")"),300)</f>
        <v>300</v>
      </c>
      <c r="J372" s="270">
        <f ca="1">IFERROR(__xludf.DUMMYFUNCTION("IMPORTRANGE(""https://docs.google.com/spreadsheets/d/1XWAQStnk-4SwqDmLtmXYiTMKHgktTP8We1SCoS47DrQ/edit?usp=sharing"",""จัดที่ดิน!I51"")"),89)</f>
        <v>89</v>
      </c>
      <c r="K372" s="497">
        <f t="shared" ca="1" si="163"/>
        <v>29.666666666666668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IFERROR(__xludf.DUMMYFUNCTION("IMPORTRANGE(""https://docs.google.com/spreadsheets/d/1XWAQStnk-4SwqDmLtmXYiTMKHgktTP8We1SCoS47DrQ/edit?usp=sharing"",""จัดที่ดิน!J51"")"),502.99)</f>
        <v>502.99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IFERROR(__xludf.DUMMYFUNCTION("IMPORTRANGE(""https://docs.google.com/spreadsheets/d/1QqKyyYR6Q21VydFLVH3TRQUabQu_ym0Zz7PgGX0-kHA/edit?usp=sharing"",""แผน!EU51"")"),1500)</f>
        <v>1500</v>
      </c>
      <c r="J374" s="490">
        <f ca="1">J381</f>
        <v>419</v>
      </c>
      <c r="K374" s="491">
        <f t="shared" ca="1" si="163"/>
        <v>27.933333333333334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IFERROR(__xludf.DUMMYFUNCTION("IMPORTRANGE(""https://docs.google.com/spreadsheets/d/1XWAQStnk-4SwqDmLtmXYiTMKHgktTP8We1SCoS47DrQ/edit?usp=sharing"",""จัดที่ดิน!AH51"")"),605)</f>
        <v>605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IFERROR(__xludf.DUMMYFUNCTION("IMPORTRANGE(""https://docs.google.com/spreadsheets/d/1QqKyyYR6Q21VydFLVH3TRQUabQu_ym0Zz7PgGX0-kHA/edit?usp=sharing"",""แผน!ET51"")"),13000)</f>
        <v>13000</v>
      </c>
      <c r="J378" s="270">
        <f ca="1">IFERROR(__xludf.DUMMYFUNCTION("IMPORTRANGE(""https://docs.google.com/spreadsheets/d/1XWAQStnk-4SwqDmLtmXYiTMKHgktTP8We1SCoS47DrQ/edit?usp=sharing"",""จัดที่ดิน!AI51"")"),5776.62)</f>
        <v>5776.62</v>
      </c>
      <c r="K378" s="497">
        <f t="shared" ca="1" si="164"/>
        <v>44.435538461538464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IFERROR(__xludf.DUMMYFUNCTION("IMPORTRANGE(""https://docs.google.com/spreadsheets/d/1QqKyyYR6Q21VydFLVH3TRQUabQu_ym0Zz7PgGX0-kHA/edit?usp=sharing"",""แผน!EU51"")"),1500)</f>
        <v>1500</v>
      </c>
      <c r="J379" s="270">
        <f ca="1">IFERROR(__xludf.DUMMYFUNCTION("IMPORTRANGE(""https://docs.google.com/spreadsheets/d/1XWAQStnk-4SwqDmLtmXYiTMKHgktTP8We1SCoS47DrQ/edit?usp=sharing"",""จัดที่ดิน!AJ51"")"),904)</f>
        <v>904</v>
      </c>
      <c r="K379" s="497">
        <f t="shared" ca="1" si="164"/>
        <v>60.266666666666666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IFERROR(__xludf.DUMMYFUNCTION("IMPORTRANGE(""https://docs.google.com/spreadsheets/d/1XWAQStnk-4SwqDmLtmXYiTMKHgktTP8We1SCoS47DrQ/edit?usp=sharing"",""จัดที่ดิน!AK51"")"),9258.83)</f>
        <v>9258.83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IFERROR(__xludf.DUMMYFUNCTION("IMPORTRANGE(""https://docs.google.com/spreadsheets/d/1QqKyyYR6Q21VydFLVH3TRQUabQu_ym0Zz7PgGX0-kHA/edit?usp=sharing"",""แผน!EU51"")"),1500)</f>
        <v>1500</v>
      </c>
      <c r="J381" s="270">
        <f ca="1">IFERROR(__xludf.DUMMYFUNCTION("IMPORTRANGE(""https://docs.google.com/spreadsheets/d/1XWAQStnk-4SwqDmLtmXYiTMKHgktTP8We1SCoS47DrQ/edit?usp=sharing"",""จัดที่ดิน!AL51"")"),419)</f>
        <v>419</v>
      </c>
      <c r="K381" s="497">
        <f t="shared" ca="1" si="164"/>
        <v>27.933333333333334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IFERROR(__xludf.DUMMYFUNCTION("IMPORTRANGE(""https://docs.google.com/spreadsheets/d/1XWAQStnk-4SwqDmLtmXYiTMKHgktTP8We1SCoS47DrQ/edit?usp=sharing"",""จัดที่ดิน!AM51"")"),4757.5)</f>
        <v>4757.5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8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IFERROR(__xludf.DUMMYFUNCTION("IMPORTRANGE(""https://docs.google.com/spreadsheets/d/1QqKyyYR6Q21VydFLVH3TRQUabQu_ym0Zz7PgGX0-kHA/edit?usp=sharing"",""แผน!EW51"")"),70)</f>
        <v>70</v>
      </c>
      <c r="J385" s="504">
        <f ca="1">IFERROR(__xludf.DUMMYFUNCTION("IMPORTRANGE(""https://docs.google.com/spreadsheets/d/1XWAQStnk-4SwqDmLtmXYiTMKHgktTP8We1SCoS47DrQ/edit?usp=sharing"",""จัดที่ดิน!AP51"")"),4)</f>
        <v>4</v>
      </c>
      <c r="K385" s="505">
        <f ca="1">IF(I385&gt;0,J385*100/I385,0)</f>
        <v>5.7142857142857144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IFERROR(__xludf.DUMMYFUNCTION("IMPORTRANGE(""https://docs.google.com/spreadsheets/d/1MeEWN-I1oV_STSDYn1IFDPWt_1FKiwhDph83XaGc0o0/edit?usp=sharing"",""งบพรบ!FG51"")"),0)</f>
        <v>0</v>
      </c>
      <c r="M394" s="93">
        <f ca="1">IFERROR(__xludf.DUMMYFUNCTION("IMPORTRANGE(""https://docs.google.com/spreadsheets/d/1MeEWN-I1oV_STSDYn1IFDPWt_1FKiwhDph83XaGc0o0/edit?usp=sharing"",""งบพรบ!FL51"")"),0)</f>
        <v>0</v>
      </c>
      <c r="N394" s="93">
        <f ca="1">IFERROR(__xludf.DUMMYFUNCTION("IMPORTRANGE(""https://docs.google.com/spreadsheets/d/1MeEWN-I1oV_STSDYn1IFDPWt_1FKiwhDph83XaGc0o0/edit?usp=sharing"",""งบพรบ!FN51"")"),0)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IFERROR(__xludf.DUMMYFUNCTION("IMPORTRANGE(""https://docs.google.com/spreadsheets/d/1MeEWN-I1oV_STSDYn1IFDPWt_1FKiwhDph83XaGc0o0/edit?usp=sharing"",""งบพรบ!FJ51"")"),0)</f>
        <v>0</v>
      </c>
      <c r="M397" s="93">
        <f ca="1">IFERROR(__xludf.DUMMYFUNCTION("IMPORTRANGE(""https://docs.google.com/spreadsheets/d/1MeEWN-I1oV_STSDYn1IFDPWt_1FKiwhDph83XaGc0o0/edit?usp=sharing"",""งบพรบ!FM51"")"),0)</f>
        <v>0</v>
      </c>
      <c r="N397" s="93">
        <f ca="1">IFERROR(__xludf.DUMMYFUNCTION("IMPORTRANGE(""https://docs.google.com/spreadsheets/d/1MeEWN-I1oV_STSDYn1IFDPWt_1FKiwhDph83XaGc0o0/edit?usp=sharing"",""งบพรบ!FO51"")"),0)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IFERROR(__xludf.DUMMYFUNCTION("IMPORTRANGE(""https://docs.google.com/spreadsheets/d/1MeEWN-I1oV_STSDYn1IFDPWt_1FKiwhDph83XaGc0o0/edit?usp=sharing"",""งบพรบ!FQ51"")"),0)</f>
        <v>0</v>
      </c>
      <c r="M407" s="93">
        <f ca="1">IFERROR(__xludf.DUMMYFUNCTION("IMPORTRANGE(""https://docs.google.com/spreadsheets/d/1MeEWN-I1oV_STSDYn1IFDPWt_1FKiwhDph83XaGc0o0/edit?usp=sharing"",""งบพรบ!FV51"")"),0)</f>
        <v>0</v>
      </c>
      <c r="N407" s="93">
        <f ca="1">IFERROR(__xludf.DUMMYFUNCTION("IMPORTRANGE(""https://docs.google.com/spreadsheets/d/1MeEWN-I1oV_STSDYn1IFDPWt_1FKiwhDph83XaGc0o0/edit?usp=sharing"",""งบพรบ!FX51"")"),0)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IFERROR(__xludf.DUMMYFUNCTION("IMPORTRANGE(""https://docs.google.com/spreadsheets/d/1MeEWN-I1oV_STSDYn1IFDPWt_1FKiwhDph83XaGc0o0/edit?usp=sharing"",""งบพรบ!FT51"")"),0)</f>
        <v>0</v>
      </c>
      <c r="M410" s="93">
        <f ca="1">IFERROR(__xludf.DUMMYFUNCTION("IMPORTRANGE(""https://docs.google.com/spreadsheets/d/1MeEWN-I1oV_STSDYn1IFDPWt_1FKiwhDph83XaGc0o0/edit?usp=sharing"",""งบพรบ!FW51"")"),0)</f>
        <v>0</v>
      </c>
      <c r="N410" s="93">
        <f ca="1">IFERROR(__xludf.DUMMYFUNCTION("IMPORTRANGE(""https://docs.google.com/spreadsheets/d/1MeEWN-I1oV_STSDYn1IFDPWt_1FKiwhDph83XaGc0o0/edit?usp=sharing"",""งบพรบ!FY51"")"),0)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3278842</v>
      </c>
      <c r="M414" s="552">
        <f t="shared" ca="1" si="181"/>
        <v>3278842</v>
      </c>
      <c r="N414" s="552">
        <f t="shared" si="181"/>
        <v>1777627.56</v>
      </c>
      <c r="O414" s="552">
        <f ca="1">IF(L414&gt;0,N414*100/L414,0)</f>
        <v>54.215102771039291</v>
      </c>
      <c r="P414" s="552">
        <f ca="1">IF(M414&gt;0,N414*100/M414,0)</f>
        <v>54.215102771039291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115060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115060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115060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IFERROR(__xludf.DUMMYFUNCTION("IMPORTRANGE(""https://docs.google.com/spreadsheets/d/1QqKyyYR6Q21VydFLVH3TRQUabQu_ym0Zz7PgGX0-kHA/edit?usp=sharing"",""แผน!EY51"")"),115060)</f>
        <v>115060</v>
      </c>
      <c r="M424" s="93">
        <f ca="1">L424</f>
        <v>115060</v>
      </c>
      <c r="N424" s="93">
        <f>N425+N426+N427+N428</f>
        <v>115060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83370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5760+1430+3000+18000+3500</f>
        <v>31690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IFERROR(__xludf.DUMMYFUNCTION("IMPORTRANGE(""https://docs.google.com/spreadsheets/d/1QqKyyYR6Q21VydFLVH3TRQUabQu_ym0Zz7PgGX0-kHA/edit?usp=sharing"",""แผน!FC51"")"),35)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IFERROR(__xludf.DUMMYFUNCTION("IMPORTRANGE(""https://docs.google.com/spreadsheets/d/1QqKyyYR6Q21VydFLVH3TRQUabQu_ym0Zz7PgGX0-kHA/edit?usp=sharing"",""แผน!FF51"")"),35)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604000</v>
      </c>
      <c r="M444" s="195">
        <f t="shared" ca="1" si="197"/>
        <v>604000</v>
      </c>
      <c r="N444" s="195">
        <f t="shared" si="197"/>
        <v>536834</v>
      </c>
      <c r="O444" s="195">
        <f t="shared" ref="O444:O449" ca="1" si="198">IF(L444&gt;0,N444*100/L444,0)</f>
        <v>88.879801324503305</v>
      </c>
      <c r="P444" s="195">
        <f t="shared" ref="P444:P449" ca="1" si="199">IF(M444&gt;0,N444*100/M444,0)</f>
        <v>88.879801324503305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604000</v>
      </c>
      <c r="M446" s="93">
        <f t="shared" ca="1" si="200"/>
        <v>604000</v>
      </c>
      <c r="N446" s="93">
        <f t="shared" si="200"/>
        <v>536834</v>
      </c>
      <c r="O446" s="93">
        <f t="shared" ca="1" si="198"/>
        <v>88.879801324503305</v>
      </c>
      <c r="P446" s="93">
        <f t="shared" ca="1" si="199"/>
        <v>88.879801324503305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604000</v>
      </c>
      <c r="M447" s="497">
        <f t="shared" ca="1" si="201"/>
        <v>604000</v>
      </c>
      <c r="N447" s="497">
        <f t="shared" si="201"/>
        <v>536834</v>
      </c>
      <c r="O447" s="497">
        <f t="shared" ca="1" si="198"/>
        <v>88.879801324503305</v>
      </c>
      <c r="P447" s="497">
        <f t="shared" ca="1" si="199"/>
        <v>88.879801324503305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IFERROR(__xludf.DUMMYFUNCTION("IMPORTRANGE(""https://docs.google.com/spreadsheets/d/1QqKyyYR6Q21VydFLVH3TRQUabQu_ym0Zz7PgGX0-kHA/edit?usp=sharing"",""แผน!FJ51"")"),604000)</f>
        <v>604000</v>
      </c>
      <c r="M449" s="93">
        <f ca="1">L449</f>
        <v>604000</v>
      </c>
      <c r="N449" s="93">
        <f>N450+N451+N452+N453</f>
        <v>536834</v>
      </c>
      <c r="O449" s="93">
        <f t="shared" ca="1" si="198"/>
        <v>88.879801324503305</v>
      </c>
      <c r="P449" s="93">
        <f t="shared" ca="1" si="199"/>
        <v>88.879801324503305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115180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285000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75834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14400+1220+5000+18000+20000+2200</f>
        <v>60820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IFERROR(__xludf.DUMMYFUNCTION("IMPORTRANGE(""https://docs.google.com/spreadsheets/d/1QqKyyYR6Q21VydFLVH3TRQUabQu_ym0Zz7PgGX0-kHA/edit?usp=sharing"",""แผน!FN51"")"),90)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IFERROR(__xludf.DUMMYFUNCTION("IMPORTRANGE(""https://docs.google.com/spreadsheets/d/1QqKyyYR6Q21VydFLVH3TRQUabQu_ym0Zz7PgGX0-kHA/edit?usp=sharing"",""แผน!FO51"")"),300)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IFERROR(__xludf.DUMMYFUNCTION("IMPORTRANGE(""https://docs.google.com/spreadsheets/d/1QqKyyYR6Q21VydFLVH3TRQUabQu_ym0Zz7PgGX0-kHA/edit?usp=sharing"",""แผน!FO51"")"),300)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IFERROR(__xludf.DUMMYFUNCTION("IMPORTRANGE(""https://docs.google.com/spreadsheets/d/1QqKyyYR6Q21VydFLVH3TRQUabQu_ym0Zz7PgGX0-kHA/edit?usp=sharing"",""แผน!FN51"")"),90)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IFERROR(__xludf.DUMMYFUNCTION("IMPORTRANGE(""https://docs.google.com/spreadsheets/d/1QqKyyYR6Q21VydFLVH3TRQUabQu_ym0Zz7PgGX0-kHA/edit?usp=sharing"",""แผน!FX51"")"),131)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IFERROR(__xludf.DUMMYFUNCTION("IMPORTRANGE(""https://docs.google.com/spreadsheets/d/1QqKyyYR6Q21VydFLVH3TRQUabQu_ym0Zz7PgGX0-kHA/edit?usp=sharing"",""แผน!FW51"")"),1300)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1172698</v>
      </c>
      <c r="M467" s="195">
        <f t="shared" ca="1" si="206"/>
        <v>1172698</v>
      </c>
      <c r="N467" s="195">
        <f t="shared" si="206"/>
        <v>269811</v>
      </c>
      <c r="O467" s="195">
        <f t="shared" ref="O467:O472" ca="1" si="207">IF(L467&gt;0,N467*100/L467,0)</f>
        <v>23.007713835957766</v>
      </c>
      <c r="P467" s="195">
        <f t="shared" ref="P467:P472" ca="1" si="208">IF(M467&gt;0,N467*100/M467,0)</f>
        <v>23.007713835957766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1172698</v>
      </c>
      <c r="M469" s="93">
        <f t="shared" ca="1" si="209"/>
        <v>1172698</v>
      </c>
      <c r="N469" s="93">
        <f t="shared" si="209"/>
        <v>269811</v>
      </c>
      <c r="O469" s="93">
        <f t="shared" ca="1" si="207"/>
        <v>23.007713835957766</v>
      </c>
      <c r="P469" s="93">
        <f t="shared" ca="1" si="208"/>
        <v>23.007713835957766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1172698</v>
      </c>
      <c r="M470" s="497">
        <f t="shared" ca="1" si="210"/>
        <v>1172698</v>
      </c>
      <c r="N470" s="497">
        <f t="shared" si="210"/>
        <v>269811</v>
      </c>
      <c r="O470" s="497">
        <f t="shared" ca="1" si="207"/>
        <v>23.007713835957766</v>
      </c>
      <c r="P470" s="497">
        <f t="shared" ca="1" si="208"/>
        <v>23.007713835957766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IFERROR(__xludf.DUMMYFUNCTION("IMPORTRANGE(""https://docs.google.com/spreadsheets/d/1QqKyyYR6Q21VydFLVH3TRQUabQu_ym0Zz7PgGX0-kHA/edit?usp=sharing"",""แผน!FS51"")"),1172698)</f>
        <v>1172698</v>
      </c>
      <c r="M472" s="93">
        <f ca="1">L472</f>
        <v>1172698</v>
      </c>
      <c r="N472" s="93">
        <f>N473+N474+N475+N476</f>
        <v>269811</v>
      </c>
      <c r="O472" s="93">
        <f t="shared" ca="1" si="207"/>
        <v>23.007713835957766</v>
      </c>
      <c r="P472" s="93">
        <f t="shared" ca="1" si="208"/>
        <v>23.007713835957766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166392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77133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3900+12636+9750</f>
        <v>26286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IFERROR(__xludf.DUMMYFUNCTION("IMPORTRANGE(""https://docs.google.com/spreadsheets/d/1QqKyyYR6Q21VydFLVH3TRQUabQu_ym0Zz7PgGX0-kHA/edit?usp=sharing"",""แผน!FY51"")"),1170)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IFERROR(__xludf.DUMMYFUNCTION("IMPORTRANGE(""https://docs.google.com/spreadsheets/d/1QqKyyYR6Q21VydFLVH3TRQUabQu_ym0Zz7PgGX0-kHA/edit?usp=sharing"",""แผน!FZ51"")"),117)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IFERROR(__xludf.DUMMYFUNCTION("IMPORTRANGE(""https://docs.google.com/spreadsheets/d/1QqKyyYR6Q21VydFLVH3TRQUabQu_ym0Zz7PgGX0-kHA/edit?usp=sharing"",""แผน!GA51"")"),130)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IFERROR(__xludf.DUMMYFUNCTION("IMPORTRANGE(""https://docs.google.com/spreadsheets/d/1QqKyyYR6Q21VydFLVH3TRQUabQu_ym0Zz7PgGX0-kHA/edit?usp=sharing"",""แผน!GB51"")"),13)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IFERROR(__xludf.DUMMYFUNCTION("IMPORTRANGE(""https://docs.google.com/spreadsheets/d/1QqKyyYR6Q21VydFLVH3TRQUabQu_ym0Zz7PgGX0-kHA/edit?usp=sharing"",""แผน!FY51"")"),1170)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IFERROR(__xludf.DUMMYFUNCTION("IMPORTRANGE(""https://docs.google.com/spreadsheets/d/1QqKyyYR6Q21VydFLVH3TRQUabQu_ym0Zz7PgGX0-kHA/edit?usp=sharing"",""แผน!GA51"")"),130)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 hidden="1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88522</v>
      </c>
      <c r="J543" s="685">
        <f t="shared" si="235"/>
        <v>88521.93250000001</v>
      </c>
      <c r="K543" s="686">
        <f t="shared" ca="1" si="234"/>
        <v>99.999923747768932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517164</v>
      </c>
      <c r="M544" s="155">
        <f t="shared" ca="1" si="236"/>
        <v>517164</v>
      </c>
      <c r="N544" s="155">
        <f t="shared" si="236"/>
        <v>336170.25</v>
      </c>
      <c r="O544" s="155">
        <f t="shared" ref="O544:O549" ca="1" si="237">IF(L544&gt;0,N544*100/L544,0)</f>
        <v>65.002639394853475</v>
      </c>
      <c r="P544" s="155">
        <f t="shared" ref="P544:P549" ca="1" si="238">IF(M544&gt;0,N544*100/M544,0)</f>
        <v>65.002639394853475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517164</v>
      </c>
      <c r="M546" s="93">
        <f t="shared" ca="1" si="240"/>
        <v>517164</v>
      </c>
      <c r="N546" s="93">
        <f t="shared" si="240"/>
        <v>336170.25</v>
      </c>
      <c r="O546" s="93">
        <f t="shared" ca="1" si="237"/>
        <v>65.002639394853475</v>
      </c>
      <c r="P546" s="93">
        <f t="shared" ca="1" si="238"/>
        <v>65.002639394853475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517164</v>
      </c>
      <c r="M547" s="497">
        <f t="shared" ca="1" si="241"/>
        <v>517164</v>
      </c>
      <c r="N547" s="497">
        <f t="shared" si="241"/>
        <v>336170.25</v>
      </c>
      <c r="O547" s="497">
        <f t="shared" ca="1" si="237"/>
        <v>65.002639394853475</v>
      </c>
      <c r="P547" s="497">
        <f t="shared" ca="1" si="238"/>
        <v>65.002639394853475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IFERROR(__xludf.DUMMYFUNCTION("IMPORTRANGE(""https://docs.google.com/spreadsheets/d/1QqKyyYR6Q21VydFLVH3TRQUabQu_ym0Zz7PgGX0-kHA/edit?usp=sharing"",""แผน!HB51"")"),517164)</f>
        <v>517164</v>
      </c>
      <c r="M549" s="93">
        <f ca="1">L549</f>
        <v>517164</v>
      </c>
      <c r="N549" s="93">
        <f>N550+N551+N552+N553+N554</f>
        <v>336170.25</v>
      </c>
      <c r="O549" s="93">
        <f t="shared" ca="1" si="237"/>
        <v>65.002639394853475</v>
      </c>
      <c r="P549" s="93">
        <f t="shared" ca="1" si="238"/>
        <v>65.002639394853475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77133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64425+3010+12604.25+12000+15000+12863+3000+131735+4400</f>
        <v>259037.25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88522</v>
      </c>
      <c r="J559" s="706">
        <f t="shared" si="245"/>
        <v>88521.93250000001</v>
      </c>
      <c r="K559" s="675">
        <f t="shared" ref="K559:K561" ca="1" si="246">IF(I559&gt;0,J559*100/I559,0)</f>
        <v>99.999923747768932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IFERROR(__xludf.DUMMYFUNCTION("IMPORTRANGE(""https://docs.google.com/spreadsheets/d/1QqKyyYR6Q21VydFLVH3TRQUabQu_ym0Zz7PgGX0-kHA/edit?usp=sharing"",""แผน!HH51"")"),88522)</f>
        <v>88522</v>
      </c>
      <c r="J560" s="193">
        <f t="shared" ref="J560:J561" si="247">J562+J564+J566</f>
        <v>88522.492500000008</v>
      </c>
      <c r="K560" s="411">
        <f t="shared" ca="1" si="246"/>
        <v>100.00055635887124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IFERROR(__xludf.DUMMYFUNCTION("IMPORTRANGE(""https://docs.google.com/spreadsheets/d/1QqKyyYR6Q21VydFLVH3TRQUabQu_ym0Zz7PgGX0-kHA/edit?usp=sharing"",""แผน!HG51"")"),8669)</f>
        <v>8669</v>
      </c>
      <c r="J561" s="193">
        <f t="shared" si="247"/>
        <v>8669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63806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6638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20079.0975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1654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4637.3950000000004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377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IFERROR(__xludf.DUMMYFUNCTION("IMPORTRANGE(""https://docs.google.com/spreadsheets/d/1QqKyyYR6Q21VydFLVH3TRQUabQu_ym0Zz7PgGX0-kHA/edit?usp=sharing"",""แผน!HH51"")"),88522)</f>
        <v>88522</v>
      </c>
      <c r="J568" s="679">
        <f t="shared" ref="J568:J569" si="248">J570+J572+J574</f>
        <v>88522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IFERROR(__xludf.DUMMYFUNCTION("IMPORTRANGE(""https://docs.google.com/spreadsheets/d/1QqKyyYR6Q21VydFLVH3TRQUabQu_ym0Zz7PgGX0-kHA/edit?usp=sharing"",""แผน!HG51"")"),8669)</f>
        <v>8669</v>
      </c>
      <c r="J569" s="679">
        <f t="shared" si="248"/>
        <v>8669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68458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7114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15430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4634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413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IFERROR(__xludf.DUMMYFUNCTION("IMPORTRANGE(""https://docs.google.com/spreadsheets/d/1QqKyyYR6Q21VydFLVH3TRQUabQu_ym0Zz7PgGX0-kHA/edit?usp=sharing"",""แผน!HH51"")"),88522)</f>
        <v>88522</v>
      </c>
      <c r="J576" s="679">
        <f t="shared" ref="J576:J577" si="250">J578+J580+J582+J588+J590</f>
        <v>88521.93250000001</v>
      </c>
      <c r="K576" s="411">
        <f t="shared" ref="K576:K577" ca="1" si="251">IF(I576&gt;0,J576*100/I576,0)</f>
        <v>99.999923747768932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IFERROR(__xludf.DUMMYFUNCTION("IMPORTRANGE(""https://docs.google.com/spreadsheets/d/1QqKyyYR6Q21VydFLVH3TRQUabQu_ym0Zz7PgGX0-kHA/edit?usp=sharing"",""แผน!HG51"")"),8669)</f>
        <v>8669</v>
      </c>
      <c r="J577" s="679">
        <f t="shared" si="250"/>
        <v>8669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68515.537500000006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7120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14993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1172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5013.3950000000004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377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5003.3950000000004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376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1760.88</v>
      </c>
      <c r="J592" s="706">
        <f t="shared" si="253"/>
        <v>1.58</v>
      </c>
      <c r="K592" s="675">
        <f t="shared" ref="K592:K594" ca="1" si="254">IF(I592&gt;0,J592*100/I592,0)</f>
        <v>8.9727863341056743E-2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IFERROR(__xludf.DUMMYFUNCTION("IMPORTRANGE(""https://docs.google.com/spreadsheets/d/1QqKyyYR6Q21VydFLVH3TRQUabQu_ym0Zz7PgGX0-kHA/edit?usp=sharing"",""แผน!HJ51"")"),1760.88)</f>
        <v>1760.88</v>
      </c>
      <c r="J593" s="193">
        <f t="shared" ref="J593:J594" si="255">J595+J603+J609</f>
        <v>1.58</v>
      </c>
      <c r="K593" s="411">
        <f t="shared" ca="1" si="254"/>
        <v>8.9727863341056743E-2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IFERROR(__xludf.DUMMYFUNCTION("IMPORTRANGE(""https://docs.google.com/spreadsheets/d/1QqKyyYR6Q21VydFLVH3TRQUabQu_ym0Zz7PgGX0-kHA/edit?usp=sharing"",""แผน!HI51"")"),128)</f>
        <v>128</v>
      </c>
      <c r="J594" s="193">
        <f t="shared" si="255"/>
        <v>5</v>
      </c>
      <c r="K594" s="411">
        <f t="shared" ca="1" si="254"/>
        <v>3.90625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1.58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1.58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IFERROR(__xludf.DUMMYFUNCTION("IMPORTRANGE(""https://docs.google.com/spreadsheets/d/1QqKyyYR6Q21VydFLVH3TRQUabQu_ym0Zz7PgGX0-kHA/edit?usp=sharing"",""แผน!HL51"")"),70)</f>
        <v>70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IFERROR(__xludf.DUMMYFUNCTION("IMPORTRANGE(""https://docs.google.com/spreadsheets/d/1QqKyyYR6Q21VydFLVH3TRQUabQu_ym0Zz7PgGX0-kHA/edit?usp=sharing"",""แผน!HK51"")"),3)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50</v>
      </c>
      <c r="K628" s="740">
        <f ca="1">IF(I628&gt;0,J628*100/I628,0)</f>
        <v>20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507280</v>
      </c>
      <c r="M629" s="195">
        <f t="shared" ca="1" si="263"/>
        <v>507280</v>
      </c>
      <c r="N629" s="195">
        <f t="shared" si="263"/>
        <v>278616</v>
      </c>
      <c r="O629" s="195">
        <f t="shared" ref="O629:O634" ca="1" si="264">IF(L629&gt;0,N629*100/L629,0)</f>
        <v>54.923513641381483</v>
      </c>
      <c r="P629" s="195">
        <f t="shared" ref="P629:P634" ca="1" si="265">IF(M629&gt;0,N629*100/M629,0)</f>
        <v>54.923513641381483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507280</v>
      </c>
      <c r="M631" s="93">
        <f t="shared" ca="1" si="266"/>
        <v>507280</v>
      </c>
      <c r="N631" s="93">
        <f t="shared" si="266"/>
        <v>278616</v>
      </c>
      <c r="O631" s="93">
        <f t="shared" ca="1" si="264"/>
        <v>54.923513641381483</v>
      </c>
      <c r="P631" s="93">
        <f t="shared" ca="1" si="265"/>
        <v>54.923513641381483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507280</v>
      </c>
      <c r="M632" s="497">
        <f t="shared" ca="1" si="267"/>
        <v>507280</v>
      </c>
      <c r="N632" s="497">
        <f t="shared" si="267"/>
        <v>278616</v>
      </c>
      <c r="O632" s="497">
        <f t="shared" ca="1" si="264"/>
        <v>54.923513641381483</v>
      </c>
      <c r="P632" s="497">
        <f t="shared" ca="1" si="265"/>
        <v>54.923513641381483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IFERROR(__xludf.DUMMYFUNCTION("IMPORTRANGE(""https://docs.google.com/spreadsheets/d/1QqKyyYR6Q21VydFLVH3TRQUabQu_ym0Zz7PgGX0-kHA/edit?usp=sharing"",""แผน!HN51"")"),507280)</f>
        <v>507280</v>
      </c>
      <c r="M634" s="93">
        <f ca="1">L634</f>
        <v>507280</v>
      </c>
      <c r="N634" s="93">
        <f>N635+N636+N637+N638</f>
        <v>278616</v>
      </c>
      <c r="O634" s="93">
        <f t="shared" ca="1" si="264"/>
        <v>54.923513641381483</v>
      </c>
      <c r="P634" s="93">
        <f t="shared" ca="1" si="265"/>
        <v>54.923513641381483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76700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44460+15000+15000+95896+19560+12000</f>
        <v>201916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IFERROR(__xludf.DUMMYFUNCTION("IMPORTRANGE(""https://docs.google.com/spreadsheets/d/1XWAQStnk-4SwqDmLtmXYiTMKHgktTP8We1SCoS47DrQ/edit?usp=sharing"",""จัดที่ดิน!AS51"")"),241)</f>
        <v>241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IFERROR(__xludf.DUMMYFUNCTION("IMPORTRANGE(""https://docs.google.com/spreadsheets/d/1XWAQStnk-4SwqDmLtmXYiTMKHgktTP8We1SCoS47DrQ/edit?usp=sharing"",""จัดที่ดิน!AT51"")"),104.18)</f>
        <v>104.18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IFERROR(__xludf.DUMMYFUNCTION("IMPORTRANGE(""https://docs.google.com/spreadsheets/d/1QqKyyYR6Q21VydFLVH3TRQUabQu_ym0Zz7PgGX0-kHA/edit?usp=sharing"",""แผน!HS51"")"),250)</f>
        <v>250</v>
      </c>
      <c r="J647" s="270">
        <f ca="1">IFERROR(__xludf.DUMMYFUNCTION("IMPORTRANGE(""https://docs.google.com/spreadsheets/d/1XWAQStnk-4SwqDmLtmXYiTMKHgktTP8We1SCoS47DrQ/edit?usp=sharing"",""จัดที่ดิน!AU51"")"),99)</f>
        <v>99</v>
      </c>
      <c r="K647" s="163">
        <f t="shared" ca="1" si="271"/>
        <v>39.6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IFERROR(__xludf.DUMMYFUNCTION("IMPORTRANGE(""https://docs.google.com/spreadsheets/d/1XWAQStnk-4SwqDmLtmXYiTMKHgktTP8We1SCoS47DrQ/edit?usp=sharing"",""จัดที่ดิน!AV51"")"),45.42)</f>
        <v>45.42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IFERROR(__xludf.DUMMYFUNCTION("IMPORTRANGE(""https://docs.google.com/spreadsheets/d/1QqKyyYR6Q21VydFLVH3TRQUabQu_ym0Zz7PgGX0-kHA/edit?usp=sharing"",""แผน!HS51"")"),250)</f>
        <v>250</v>
      </c>
      <c r="J649" s="270">
        <f ca="1">IFERROR(__xludf.DUMMYFUNCTION("IMPORTRANGE(""https://docs.google.com/spreadsheets/d/1XWAQStnk-4SwqDmLtmXYiTMKHgktTP8We1SCoS47DrQ/edit?usp=sharing"",""จัดที่ดิน!AW51"")"),77)</f>
        <v>77</v>
      </c>
      <c r="K649" s="163">
        <f t="shared" ca="1" si="271"/>
        <v>30.8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IFERROR(__xludf.DUMMYFUNCTION("IMPORTRANGE(""https://docs.google.com/spreadsheets/d/1XWAQStnk-4SwqDmLtmXYiTMKHgktTP8We1SCoS47DrQ/edit?usp=sharing"",""จัดที่ดิน!AX51"")"),34.05)</f>
        <v>34.049999999999997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IFERROR(__xludf.DUMMYFUNCTION("IMPORTRANGE(""https://docs.google.com/spreadsheets/d/1QqKyyYR6Q21VydFLVH3TRQUabQu_ym0Zz7PgGX0-kHA/edit?usp=sharing"",""แผน!HS51"")"),250)</f>
        <v>250</v>
      </c>
      <c r="J651" s="270">
        <f ca="1">IFERROR(__xludf.DUMMYFUNCTION("IMPORTRANGE(""https://docs.google.com/spreadsheets/d/1XWAQStnk-4SwqDmLtmXYiTMKHgktTP8We1SCoS47DrQ/edit?usp=sharing"",""จัดที่ดิน!AY51"")"),50)</f>
        <v>50</v>
      </c>
      <c r="K651" s="163">
        <f t="shared" ca="1" si="271"/>
        <v>20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IFERROR(__xludf.DUMMYFUNCTION("IMPORTRANGE(""https://docs.google.com/spreadsheets/d/1XWAQStnk-4SwqDmLtmXYiTMKHgktTP8We1SCoS47DrQ/edit?usp=sharing"",""จัดที่ดิน!AZ51"")"),22.535)</f>
        <v>22.535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15380</v>
      </c>
      <c r="O655" s="195">
        <f t="shared" ref="O655:O660" ca="1" si="274">IF(L655&gt;0,N655*100/L655,0)</f>
        <v>98.589743589743591</v>
      </c>
      <c r="P655" s="195">
        <f t="shared" ref="P655:P660" ca="1" si="275">IF(M655&gt;0,N655*100/M655,0)</f>
        <v>98.589743589743591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15380</v>
      </c>
      <c r="O657" s="93">
        <f t="shared" ca="1" si="274"/>
        <v>98.589743589743591</v>
      </c>
      <c r="P657" s="93">
        <f t="shared" ca="1" si="275"/>
        <v>98.589743589743591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15380</v>
      </c>
      <c r="O658" s="497">
        <f t="shared" ca="1" si="274"/>
        <v>98.589743589743591</v>
      </c>
      <c r="P658" s="497">
        <f t="shared" ca="1" si="275"/>
        <v>98.589743589743591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IFERROR(__xludf.DUMMYFUNCTION("IMPORTRANGE(""https://docs.google.com/spreadsheets/d/1QqKyyYR6Q21VydFLVH3TRQUabQu_ym0Zz7PgGX0-kHA/edit?usp=sharing"",""แผน!HV51"")"),15600)</f>
        <v>15600</v>
      </c>
      <c r="M660" s="93">
        <f ca="1">L660</f>
        <v>15600</v>
      </c>
      <c r="N660" s="93">
        <f>N661+N662+N663+N664</f>
        <v>15380</v>
      </c>
      <c r="O660" s="93">
        <f t="shared" ca="1" si="274"/>
        <v>98.589743589743591</v>
      </c>
      <c r="P660" s="93">
        <f t="shared" ca="1" si="275"/>
        <v>98.589743589743591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2100+5440+1440+6400</f>
        <v>15380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IFERROR(__xludf.DUMMYFUNCTION("IMPORTRANGE(""https://docs.google.com/spreadsheets/d/1QqKyyYR6Q21VydFLVH3TRQUabQu_ym0Zz7PgGX0-kHA/edit?usp=sharing"",""แผน!IA51"")"),100)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IFERROR(__xludf.DUMMYFUNCTION("IMPORTRANGE(""https://docs.google.com/spreadsheets/d/1QqKyyYR6Q21VydFLVH3TRQUabQu_ym0Zz7PgGX0-kHA/edit?usp=sharing"",""แผน!HZ51"")"),6)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IFERROR(__xludf.DUMMYFUNCTION("IMPORTRANGE(""https://docs.google.com/spreadsheets/d/1QqKyyYR6Q21VydFLVH3TRQUabQu_ym0Zz7PgGX0-kHA/edit?usp=sharing"",""แผน!HZ51"")"),6)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711</v>
      </c>
      <c r="K672" s="497">
        <f t="shared" ref="K672:K675" ca="1" si="281">IF(I$669&gt;0,J672*100/I$669,0)</f>
        <v>711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711</v>
      </c>
      <c r="K673" s="497">
        <f t="shared" ca="1" si="281"/>
        <v>711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11840</v>
      </c>
      <c r="M685" s="195">
        <f t="shared" ca="1" si="282"/>
        <v>11840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11840</v>
      </c>
      <c r="M687" s="93">
        <f t="shared" ca="1" si="285"/>
        <v>11840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11840</v>
      </c>
      <c r="M688" s="497">
        <f t="shared" ca="1" si="286"/>
        <v>11840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IFERROR(__xludf.DUMMYFUNCTION("IMPORTRANGE(""https://docs.google.com/spreadsheets/d/1QqKyyYR6Q21VydFLVH3TRQUabQu_ym0Zz7PgGX0-kHA/edit?usp=sharing"",""แผน!HW51"")"),11840)</f>
        <v>11840</v>
      </c>
      <c r="M690" s="93">
        <f ca="1">L690</f>
        <v>11840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IFERROR(__xludf.DUMMYFUNCTION("IMPORTRANGE(""https://docs.google.com/spreadsheets/d/1QqKyyYR6Q21VydFLVH3TRQUabQu_ym0Zz7PgGX0-kHA/edit?usp=sharing"",""แผน!IC51"")"),88)</f>
        <v>88</v>
      </c>
      <c r="J699" s="270">
        <f ca="1">IFERROR(__xludf.DUMMYFUNCTION("IMPORTRANGE(""https://docs.google.com/spreadsheets/d/1XWAQStnk-4SwqDmLtmXYiTMKHgktTP8We1SCoS47DrQ/edit?usp=sharing"",""จัดที่ดิน!BB51"")"),0)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IFERROR(__xludf.DUMMYFUNCTION("IMPORTRANGE(""https://docs.google.com/spreadsheets/d/1QqKyyYR6Q21VydFLVH3TRQUabQu_ym0Zz7PgGX0-kHA/edit?usp=sharing"",""แผน!ID51"")"),17)</f>
        <v>17</v>
      </c>
      <c r="J700" s="270">
        <f ca="1">IFERROR(__xludf.DUMMYFUNCTION("IMPORTRANGE(""https://docs.google.com/spreadsheets/d/1XWAQStnk-4SwqDmLtmXYiTMKHgktTP8We1SCoS47DrQ/edit?usp=sharing"",""จัดที่ดิน!BD51"")"),10)</f>
        <v>10</v>
      </c>
      <c r="K700" s="497">
        <f t="shared" ca="1" si="290"/>
        <v>58.823529411764703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IFERROR(__xludf.DUMMYFUNCTION("IMPORTRANGE(""https://docs.google.com/spreadsheets/d/1QqKyyYR6Q21VydFLVH3TRQUabQu_ym0Zz7PgGX0-kHA/edit?usp=sharing"",""แผน!II51"")"),0)</f>
        <v>0</v>
      </c>
      <c r="J720" s="270">
        <f ca="1">IFERROR(__xludf.DUMMYFUNCTION("IMPORTRANGE(""https://docs.google.com/spreadsheets/d/1XWAQStnk-4SwqDmLtmXYiTMKHgktTP8We1SCoS47DrQ/edit?usp=sharing"",""จัดที่ดิน!BH51"")"),0)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IFERROR(__xludf.DUMMYFUNCTION("IMPORTRANGE(""https://docs.google.com/spreadsheets/d/1QqKyyYR6Q21VydFLVH3TRQUabQu_ym0Zz7PgGX0-kHA/edit?usp=sharing"",""แผน!IL51"")"),0)</f>
        <v>0</v>
      </c>
      <c r="J723" s="270">
        <f ca="1">IFERROR(__xludf.DUMMYFUNCTION("IMPORTRANGE(""https://docs.google.com/spreadsheets/d/1XWAQStnk-4SwqDmLtmXYiTMKHgktTP8We1SCoS47DrQ/edit?usp=sharing"",""จัดที่ดิน!BM51"")"),0)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IFERROR(__xludf.DUMMYFUNCTION("IMPORTRANGE(""https://docs.google.com/spreadsheets/d/1QqKyyYR6Q21VydFLVH3TRQUabQu_ym0Zz7PgGX0-kHA/edit?usp=sharing"",""แผน!IM51"")"),0)</f>
        <v>0</v>
      </c>
      <c r="J725" s="270">
        <f ca="1">IFERROR(__xludf.DUMMYFUNCTION("IMPORTRANGE(""https://docs.google.com/spreadsheets/d/1XWAQStnk-4SwqDmLtmXYiTMKHgktTP8We1SCoS47DrQ/edit?usp=sharing"",""จัดที่ดิน!BO51"")"),0)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IFERROR(__xludf.DUMMYFUNCTION("IMPORTRANGE(""https://docs.google.com/spreadsheets/d/1QqKyyYR6Q21VydFLVH3TRQUabQu_ym0Zz7PgGX0-kHA/edit?usp=sharing"",""แผน!IN51"")"),0)</f>
        <v>0</v>
      </c>
      <c r="J726" s="270">
        <f ca="1">IFERROR(__xludf.DUMMYFUNCTION("IMPORTRANGE(""https://docs.google.com/spreadsheets/d/1XWAQStnk-4SwqDmLtmXYiTMKHgktTP8We1SCoS47DrQ/edit?usp=sharing"",""จัดที่ดิน!BR51"")"),0)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IFERROR(__xludf.DUMMYFUNCTION("IMPORTRANGE(""https://docs.google.com/spreadsheets/d/1QqKyyYR6Q21VydFLVH3TRQUabQu_ym0Zz7PgGX0-kHA/edit?usp=sharing"",""แผน!IO51"")"),0)</f>
        <v>0</v>
      </c>
      <c r="J728" s="270">
        <f ca="1">IFERROR(__xludf.DUMMYFUNCTION("IMPORTRANGE(""https://docs.google.com/spreadsheets/d/1XWAQStnk-4SwqDmLtmXYiTMKHgktTP8We1SCoS47DrQ/edit?usp=sharing"",""จัดที่ดิน!BT51"")"),0)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2204</v>
      </c>
      <c r="K785" s="806">
        <f ca="1">IF(I785&gt;0,J785*100/I785,0)</f>
        <v>44.08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225756.31</v>
      </c>
      <c r="O786" s="195">
        <f t="shared" ref="O786:O791" ca="1" si="320">IF(L786&gt;0,N786*100/L786,0)</f>
        <v>67.349734486873501</v>
      </c>
      <c r="P786" s="195">
        <f t="shared" ref="P786:P791" ca="1" si="321">IF(M786&gt;0,N786*100/M786,0)</f>
        <v>67.349734486873501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225756.31</v>
      </c>
      <c r="O788" s="93">
        <f t="shared" ca="1" si="320"/>
        <v>67.349734486873501</v>
      </c>
      <c r="P788" s="93">
        <f t="shared" ca="1" si="321"/>
        <v>67.349734486873501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225756.31</v>
      </c>
      <c r="O789" s="497">
        <f t="shared" ca="1" si="320"/>
        <v>67.349734486873501</v>
      </c>
      <c r="P789" s="497">
        <f t="shared" ca="1" si="321"/>
        <v>67.349734486873501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IFERROR(__xludf.DUMMYFUNCTION("IMPORTRANGE(""https://docs.google.com/spreadsheets/d/1QqKyyYR6Q21VydFLVH3TRQUabQu_ym0Zz7PgGX0-kHA/edit?usp=sharing"",""แผน!JJ51"")"),335200)</f>
        <v>335200</v>
      </c>
      <c r="M791" s="93">
        <f ca="1">L791</f>
        <v>335200</v>
      </c>
      <c r="N791" s="93">
        <f>N792+N793+N794+N795</f>
        <v>225756.31</v>
      </c>
      <c r="O791" s="93">
        <f t="shared" ca="1" si="320"/>
        <v>67.349734486873501</v>
      </c>
      <c r="P791" s="93">
        <f t="shared" ca="1" si="321"/>
        <v>67.349734486873501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55460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58920+18600+39800+44640+8336.31</f>
        <v>170296.31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IFERROR(__xludf.DUMMYFUNCTION("IMPORTRANGE(""https://docs.google.com/spreadsheets/d/1MaWodYyGHDf7siQLGxnXhG4mBNTNIuy296niS2xXulU/edit?usp=sharing"",""RTK!H51"")"),152)</f>
        <v>152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IFERROR(__xludf.DUMMYFUNCTION("IMPORTRANGE(""https://docs.google.com/spreadsheets/d/1MaWodYyGHDf7siQLGxnXhG4mBNTNIuy296niS2xXulU/edit?usp=sharing"",""RTK!G51"")"),5000)</f>
        <v>5000</v>
      </c>
      <c r="J801" s="820">
        <f ca="1">IFERROR(__xludf.DUMMYFUNCTION("IMPORTRANGE(""https://docs.google.com/spreadsheets/d/1MaWodYyGHDf7siQLGxnXhG4mBNTNIuy296niS2xXulU/edit?usp=sharing"",""RTK!I51"")"),2204)</f>
        <v>2204</v>
      </c>
      <c r="K801" s="821">
        <f ca="1">IF(I801&gt;0,J801*100/I801,0)</f>
        <v>44.08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IFERROR(__xludf.DUMMYFUNCTION("IMPORTRANGE(""https://docs.google.com/spreadsheets/d/1MaWodYyGHDf7siQLGxnXhG4mBNTNIuy296niS2xXulU/edit?usp=sharing"",""RTK!L51"")"),0)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IFERROR(__xludf.DUMMYFUNCTION("IMPORTRANGE(""https://docs.google.com/spreadsheets/d/1MaWodYyGHDf7siQLGxnXhG4mBNTNIuy296niS2xXulU/edit?usp=sharing"",""RTK!K51"")"),0)</f>
        <v>0</v>
      </c>
      <c r="J803" s="820">
        <f ca="1">IFERROR(__xludf.DUMMYFUNCTION("IMPORTRANGE(""https://docs.google.com/spreadsheets/d/1MaWodYyGHDf7siQLGxnXhG4mBNTNIuy296niS2xXulU/edit?usp=sharing"",""RTK!M51"")"),0)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270">
        <f ca="1">IFERROR(__xludf.DUMMYFUNCTION("IMPORTRANGE(""https://docs.google.com/spreadsheets/d/19vJNZY_5yjcGF2XGBMNZRCAIB0Kwfpjp8YEOfu-bneM/edit?usp=sharing"",""งานกองทุน!F51"")"),5718688.75)</f>
        <v>5718688.75</v>
      </c>
      <c r="K821" s="497">
        <f t="shared" ref="K821:K828" ca="1" si="336">IF(I821&gt;0,J821*100/I821,0)</f>
        <v>93.946438048136827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IFERROR(__xludf.DUMMYFUNCTION("IMPORTRANGE(""https://docs.google.com/spreadsheets/d/19vJNZY_5yjcGF2XGBMNZRCAIB0Kwfpjp8YEOfu-bneM/edit?usp=sharing"",""งานกองทุน!C51"")"),301)</f>
        <v>301</v>
      </c>
      <c r="J822" s="270">
        <f ca="1">IFERROR(__xludf.DUMMYFUNCTION("IMPORTRANGE(""https://docs.google.com/spreadsheets/d/19vJNZY_5yjcGF2XGBMNZRCAIB0Kwfpjp8YEOfu-bneM/edit?usp=sharing"",""งานกองทุน!E51"")"),283)</f>
        <v>283</v>
      </c>
      <c r="K822" s="497">
        <f t="shared" ca="1" si="336"/>
        <v>94.019933554817271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270">
        <f ca="1">IFERROR(__xludf.DUMMYFUNCTION("IMPORTRANGE(""https://docs.google.com/spreadsheets/d/19vJNZY_5yjcGF2XGBMNZRCAIB0Kwfpjp8YEOfu-bneM/edit?usp=sharing"",""งานกองทุน!K51"")"),466883.07)</f>
        <v>466883.07</v>
      </c>
      <c r="K823" s="497">
        <f t="shared" ca="1" si="336"/>
        <v>11.193877386370533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IFERROR(__xludf.DUMMYFUNCTION("IMPORTRANGE(""https://docs.google.com/spreadsheets/d/19vJNZY_5yjcGF2XGBMNZRCAIB0Kwfpjp8YEOfu-bneM/edit?usp=sharing"",""งานกองทุน!H51"")"),239)</f>
        <v>239</v>
      </c>
      <c r="J824" s="270">
        <f ca="1">IFERROR(__xludf.DUMMYFUNCTION("IMPORTRANGE(""https://docs.google.com/spreadsheets/d/19vJNZY_5yjcGF2XGBMNZRCAIB0Kwfpjp8YEOfu-bneM/edit?usp=sharing"",""งานกองทุน!J51"")"),70)</f>
        <v>70</v>
      </c>
      <c r="K824" s="497">
        <f t="shared" ca="1" si="336"/>
        <v>29.288702928870293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270">
        <f ca="1">IFERROR(__xludf.DUMMYFUNCTION("IMPORTRANGE(""https://docs.google.com/spreadsheets/d/19vJNZY_5yjcGF2XGBMNZRCAIB0Kwfpjp8YEOfu-bneM/edit?usp=sharing"",""งานกองทุน!P51"")"),152141.76)</f>
        <v>152141.76000000001</v>
      </c>
      <c r="K825" s="497">
        <f t="shared" ca="1" si="336"/>
        <v>45.355615181702824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IFERROR(__xludf.DUMMYFUNCTION("IMPORTRANGE(""https://docs.google.com/spreadsheets/d/19vJNZY_5yjcGF2XGBMNZRCAIB0Kwfpjp8YEOfu-bneM/edit?usp=sharing"",""งานกองทุน!M51"")"),164)</f>
        <v>164</v>
      </c>
      <c r="J826" s="270">
        <f ca="1">IFERROR(__xludf.DUMMYFUNCTION("IMPORTRANGE(""https://docs.google.com/spreadsheets/d/19vJNZY_5yjcGF2XGBMNZRCAIB0Kwfpjp8YEOfu-bneM/edit?usp=sharing"",""งานกองทุน!O51"")"),146)</f>
        <v>146</v>
      </c>
      <c r="K826" s="497">
        <f t="shared" ca="1" si="336"/>
        <v>89.024390243902445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IFERROR(__xludf.DUMMYFUNCTION("IMPORTRANGE(""https://docs.google.com/spreadsheets/d/19vJNZY_5yjcGF2XGBMNZRCAIB0Kwfpjp8YEOfu-bneM/edit?usp=sharing"",""งานกองทุน!S51"")"),8640000)</f>
        <v>8640000</v>
      </c>
      <c r="J827" s="270">
        <f ca="1">IFERROR(__xludf.DUMMYFUNCTION("IMPORTRANGE(""https://docs.google.com/spreadsheets/d/19vJNZY_5yjcGF2XGBMNZRCAIB0Kwfpjp8YEOfu-bneM/edit?usp=sharing"",""งานกองทุน!U51"")"),6615000)</f>
        <v>6615000</v>
      </c>
      <c r="K827" s="497">
        <f t="shared" ca="1" si="336"/>
        <v>76.5625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IFERROR(__xludf.DUMMYFUNCTION("IMPORTRANGE(""https://docs.google.com/spreadsheets/d/19vJNZY_5yjcGF2XGBMNZRCAIB0Kwfpjp8YEOfu-bneM/edit?usp=sharing"",""งานกองทุน!R51"")"),267)</f>
        <v>267</v>
      </c>
      <c r="J828" s="504">
        <f ca="1">IFERROR(__xludf.DUMMYFUNCTION("IMPORTRANGE(""https://docs.google.com/spreadsheets/d/19vJNZY_5yjcGF2XGBMNZRCAIB0Kwfpjp8YEOfu-bneM/edit?usp=sharing"",""งานกองทุน!T51"")"),206)</f>
        <v>206</v>
      </c>
      <c r="K828" s="505">
        <f t="shared" ca="1" si="336"/>
        <v>77.153558052434462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7DB3A-5696-4342-BD13-9184192A7EA1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7.85546875" bestFit="1" customWidth="1"/>
    <col min="10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6245247</v>
      </c>
      <c r="M8" s="22">
        <f t="shared" ca="1" si="0"/>
        <v>5571006</v>
      </c>
      <c r="N8" s="22">
        <f t="shared" ca="1" si="0"/>
        <v>3710401.8899999997</v>
      </c>
      <c r="O8" s="22">
        <f t="shared" ref="O8:O16" ca="1" si="1">IF(L8&gt;0,N8*100/L8,0)</f>
        <v>59.411611582376153</v>
      </c>
      <c r="P8" s="22">
        <f t="shared" ref="P8:P16" ca="1" si="2">IF(M8&gt;0,N8*100/M8,0)</f>
        <v>66.602008506183608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6245247</v>
      </c>
      <c r="M10" s="30">
        <f t="shared" ca="1" si="3"/>
        <v>5571006</v>
      </c>
      <c r="N10" s="30">
        <f t="shared" ca="1" si="3"/>
        <v>3710401.8899999997</v>
      </c>
      <c r="O10" s="30">
        <f t="shared" ca="1" si="1"/>
        <v>59.411611582376153</v>
      </c>
      <c r="P10" s="30">
        <f t="shared" ca="1" si="2"/>
        <v>66.602008506183608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6115247</v>
      </c>
      <c r="M11" s="497">
        <f t="shared" ca="1" si="4"/>
        <v>5441606</v>
      </c>
      <c r="N11" s="497">
        <f t="shared" ca="1" si="4"/>
        <v>3581001.8899999997</v>
      </c>
      <c r="O11" s="497">
        <f t="shared" ca="1" si="1"/>
        <v>58.55858136229002</v>
      </c>
      <c r="P11" s="497">
        <f t="shared" ca="1" si="2"/>
        <v>65.807812803793581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6115247</v>
      </c>
      <c r="M13" s="93">
        <f t="shared" ca="1" si="5"/>
        <v>5441606</v>
      </c>
      <c r="N13" s="93">
        <f t="shared" ca="1" si="5"/>
        <v>3581001.8899999997</v>
      </c>
      <c r="O13" s="93">
        <f t="shared" ca="1" si="1"/>
        <v>58.55858136229002</v>
      </c>
      <c r="P13" s="93">
        <f t="shared" ca="1" si="2"/>
        <v>65.807812803793581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130000</v>
      </c>
      <c r="M14" s="497">
        <f t="shared" ca="1" si="6"/>
        <v>129400</v>
      </c>
      <c r="N14" s="497">
        <f t="shared" ca="1" si="6"/>
        <v>129400</v>
      </c>
      <c r="O14" s="497">
        <f t="shared" ca="1" si="1"/>
        <v>99.538461538461533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130000</v>
      </c>
      <c r="M16" s="52">
        <f t="shared" ca="1" si="7"/>
        <v>129400</v>
      </c>
      <c r="N16" s="52">
        <f t="shared" ca="1" si="7"/>
        <v>129400</v>
      </c>
      <c r="O16" s="52">
        <f t="shared" ca="1" si="1"/>
        <v>99.538461538461533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4585736</v>
      </c>
      <c r="M18" s="22">
        <f t="shared" ca="1" si="8"/>
        <v>3911495</v>
      </c>
      <c r="N18" s="22">
        <f t="shared" ca="1" si="8"/>
        <v>3155697.6899999995</v>
      </c>
      <c r="O18" s="22">
        <f t="shared" ref="O18:O26" ca="1" si="9">IF(L18&gt;0,N18*100/L18,0)</f>
        <v>68.815511621253364</v>
      </c>
      <c r="P18" s="22">
        <f t="shared" ref="P18:P26" ca="1" si="10">IF(M18&gt;0,N18*100/M18,0)</f>
        <v>80.677533526183709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4585736</v>
      </c>
      <c r="M20" s="30">
        <f t="shared" ca="1" si="11"/>
        <v>3911495</v>
      </c>
      <c r="N20" s="30">
        <f t="shared" ca="1" si="11"/>
        <v>3155697.6899999995</v>
      </c>
      <c r="O20" s="30">
        <f t="shared" ca="1" si="9"/>
        <v>68.815511621253364</v>
      </c>
      <c r="P20" s="30">
        <f t="shared" ca="1" si="10"/>
        <v>80.677533526183709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4455736</v>
      </c>
      <c r="M21" s="497">
        <f t="shared" ca="1" si="12"/>
        <v>3782095</v>
      </c>
      <c r="N21" s="497">
        <f t="shared" ca="1" si="12"/>
        <v>3026297.6899999995</v>
      </c>
      <c r="O21" s="497">
        <f t="shared" ca="1" si="9"/>
        <v>67.919142651180394</v>
      </c>
      <c r="P21" s="497">
        <f t="shared" ca="1" si="10"/>
        <v>80.016437715075881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4455736</v>
      </c>
      <c r="M23" s="93">
        <f t="shared" ca="1" si="13"/>
        <v>3782095</v>
      </c>
      <c r="N23" s="93">
        <f t="shared" ca="1" si="13"/>
        <v>3026297.6899999995</v>
      </c>
      <c r="O23" s="93">
        <f t="shared" ca="1" si="9"/>
        <v>67.919142651180394</v>
      </c>
      <c r="P23" s="93">
        <f t="shared" ca="1" si="10"/>
        <v>80.016437715075881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130000</v>
      </c>
      <c r="M24" s="497">
        <f t="shared" ca="1" si="14"/>
        <v>129400</v>
      </c>
      <c r="N24" s="497">
        <f t="shared" ca="1" si="14"/>
        <v>129400</v>
      </c>
      <c r="O24" s="497">
        <f t="shared" ca="1" si="9"/>
        <v>99.538461538461533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130000</v>
      </c>
      <c r="M26" s="52">
        <f t="shared" ca="1" si="15"/>
        <v>129400</v>
      </c>
      <c r="N26" s="52">
        <f t="shared" ca="1" si="15"/>
        <v>129400</v>
      </c>
      <c r="O26" s="52">
        <f t="shared" ca="1" si="9"/>
        <v>99.538461538461533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1659511</v>
      </c>
      <c r="M28" s="22">
        <f t="shared" ca="1" si="16"/>
        <v>1659511</v>
      </c>
      <c r="N28" s="22">
        <f t="shared" si="16"/>
        <v>554704.19999999995</v>
      </c>
      <c r="O28" s="22">
        <f t="shared" ref="O28:O37" ca="1" si="17">IF(L28&gt;0,N28*100/L28,0)</f>
        <v>33.425762167289037</v>
      </c>
      <c r="P28" s="22">
        <f t="shared" ref="P28:P37" ca="1" si="18">IF(M28&gt;0,N28*100/M28,0)</f>
        <v>33.425762167289037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1659511</v>
      </c>
      <c r="M30" s="30">
        <f t="shared" ca="1" si="19"/>
        <v>1659511</v>
      </c>
      <c r="N30" s="30">
        <f t="shared" si="19"/>
        <v>554704.19999999995</v>
      </c>
      <c r="O30" s="30">
        <f t="shared" ca="1" si="17"/>
        <v>33.425762167289037</v>
      </c>
      <c r="P30" s="30">
        <f t="shared" ca="1" si="18"/>
        <v>33.425762167289037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1659511</v>
      </c>
      <c r="M31" s="497">
        <f t="shared" ca="1" si="20"/>
        <v>1659511</v>
      </c>
      <c r="N31" s="497">
        <f t="shared" si="20"/>
        <v>554704.19999999995</v>
      </c>
      <c r="O31" s="497">
        <f t="shared" ca="1" si="17"/>
        <v>33.425762167289037</v>
      </c>
      <c r="P31" s="497">
        <f t="shared" ca="1" si="18"/>
        <v>33.425762167289037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1659511</v>
      </c>
      <c r="M33" s="93">
        <f t="shared" ca="1" si="21"/>
        <v>1659511</v>
      </c>
      <c r="N33" s="93">
        <f t="shared" si="21"/>
        <v>554704.19999999995</v>
      </c>
      <c r="O33" s="93">
        <f t="shared" ca="1" si="17"/>
        <v>33.425762167289037</v>
      </c>
      <c r="P33" s="93">
        <f t="shared" ca="1" si="18"/>
        <v>33.425762167289037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4585736</v>
      </c>
      <c r="M37" s="870">
        <f t="shared" ca="1" si="24"/>
        <v>3911495</v>
      </c>
      <c r="N37" s="870">
        <f t="shared" ca="1" si="24"/>
        <v>3155697.6899999995</v>
      </c>
      <c r="O37" s="870">
        <f t="shared" ca="1" si="17"/>
        <v>68.815511621253364</v>
      </c>
      <c r="P37" s="870">
        <f t="shared" ca="1" si="18"/>
        <v>80.677533526183709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789046</v>
      </c>
      <c r="M41" s="85">
        <f t="shared" ca="1" si="25"/>
        <v>798350</v>
      </c>
      <c r="N41" s="85">
        <f t="shared" ca="1" si="25"/>
        <v>518766.12</v>
      </c>
      <c r="O41" s="85">
        <f t="shared" ref="O41:O49" ca="1" si="26">IF(L41&gt;0,N41*100/L41,0)</f>
        <v>65.745991995396977</v>
      </c>
      <c r="P41" s="85">
        <f t="shared" ref="P41:P49" ca="1" si="27">IF(M41&gt;0,N41*100/M41,0)</f>
        <v>64.979785808229479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789046</v>
      </c>
      <c r="M43" s="92">
        <f t="shared" ca="1" si="28"/>
        <v>798350</v>
      </c>
      <c r="N43" s="92">
        <f t="shared" ca="1" si="28"/>
        <v>518766.12</v>
      </c>
      <c r="O43" s="92">
        <f t="shared" ca="1" si="26"/>
        <v>65.745991995396977</v>
      </c>
      <c r="P43" s="92">
        <f t="shared" ca="1" si="27"/>
        <v>64.979785808229479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789046</v>
      </c>
      <c r="M44" s="497">
        <f t="shared" ca="1" si="29"/>
        <v>798350</v>
      </c>
      <c r="N44" s="497">
        <f t="shared" ca="1" si="29"/>
        <v>518766.12</v>
      </c>
      <c r="O44" s="497">
        <f t="shared" ca="1" si="26"/>
        <v>65.745991995396977</v>
      </c>
      <c r="P44" s="497">
        <f t="shared" ca="1" si="27"/>
        <v>64.979785808229479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IFERROR(__xludf.DUMMYFUNCTION("IMPORTRANGE(""https://docs.google.com/spreadsheets/d/1MeEWN-I1oV_STSDYn1IFDPWt_1FKiwhDph83XaGc0o0/edit?usp=sharing"",""งบพรบ!M33"")"),789046)</f>
        <v>789046</v>
      </c>
      <c r="M46" s="93">
        <f ca="1">IFERROR(__xludf.DUMMYFUNCTION("IMPORTRANGE(""https://docs.google.com/spreadsheets/d/1MeEWN-I1oV_STSDYn1IFDPWt_1FKiwhDph83XaGc0o0/edit?usp=sharing"",""งบพรบ!R33"")"),798350)</f>
        <v>798350</v>
      </c>
      <c r="N46" s="93">
        <f ca="1">IFERROR(__xludf.DUMMYFUNCTION("IMPORTRANGE(""https://docs.google.com/spreadsheets/d/1MeEWN-I1oV_STSDYn1IFDPWt_1FKiwhDph83XaGc0o0/edit?usp=sharing"",""งบพรบ!T33"")"),518766.12)</f>
        <v>518766.12</v>
      </c>
      <c r="O46" s="93">
        <f t="shared" ca="1" si="26"/>
        <v>65.745991995396977</v>
      </c>
      <c r="P46" s="93">
        <f t="shared" ca="1" si="27"/>
        <v>64.979785808229479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IFERROR(__xludf.DUMMYFUNCTION("IMPORTRANGE(""https://docs.google.com/spreadsheets/d/1MeEWN-I1oV_STSDYn1IFDPWt_1FKiwhDph83XaGc0o0/edit?usp=sharing"",""งบพรบ!P33"")"),0)</f>
        <v>0</v>
      </c>
      <c r="M49" s="52">
        <f ca="1">IFERROR(__xludf.DUMMYFUNCTION("IMPORTRANGE(""https://docs.google.com/spreadsheets/d/1MeEWN-I1oV_STSDYn1IFDPWt_1FKiwhDph83XaGc0o0/edit?usp=sharing"",""งบพรบ!S33"")"),0)</f>
        <v>0</v>
      </c>
      <c r="N49" s="52">
        <f ca="1">IFERROR(__xludf.DUMMYFUNCTION("IMPORTRANGE(""https://docs.google.com/spreadsheets/d/1MeEWN-I1oV_STSDYn1IFDPWt_1FKiwhDph83XaGc0o0/edit?usp=sharing"",""งบพรบ!U33"")"),0)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921900</v>
      </c>
      <c r="M53" s="116">
        <f t="shared" ca="1" si="31"/>
        <v>699475</v>
      </c>
      <c r="N53" s="116">
        <f t="shared" ca="1" si="31"/>
        <v>652781.44999999995</v>
      </c>
      <c r="O53" s="116">
        <f t="shared" ref="O53:O61" ca="1" si="32">IF(L53&gt;0,N53*100/L53,0)</f>
        <v>70.808270962143396</v>
      </c>
      <c r="P53" s="116">
        <f t="shared" ref="P53:P61" ca="1" si="33">IF(M53&gt;0,N53*100/M53,0)</f>
        <v>93.324486221809209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921900</v>
      </c>
      <c r="M55" s="123">
        <f t="shared" ca="1" si="34"/>
        <v>699475</v>
      </c>
      <c r="N55" s="123">
        <f t="shared" ca="1" si="34"/>
        <v>652781.44999999995</v>
      </c>
      <c r="O55" s="123">
        <f t="shared" ca="1" si="32"/>
        <v>70.808270962143396</v>
      </c>
      <c r="P55" s="123">
        <f t="shared" ca="1" si="33"/>
        <v>93.324486221809209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889700</v>
      </c>
      <c r="M56" s="497">
        <f t="shared" ca="1" si="35"/>
        <v>667275</v>
      </c>
      <c r="N56" s="497">
        <f t="shared" ca="1" si="35"/>
        <v>620581.44999999995</v>
      </c>
      <c r="O56" s="497">
        <f t="shared" ca="1" si="32"/>
        <v>69.751764639766208</v>
      </c>
      <c r="P56" s="497">
        <f t="shared" ca="1" si="33"/>
        <v>93.002352853021605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IFERROR(__xludf.DUMMYFUNCTION("IMPORTRANGE(""https://docs.google.com/spreadsheets/d/1MeEWN-I1oV_STSDYn1IFDPWt_1FKiwhDph83XaGc0o0/edit?usp=sharing"",""งบพรบ!W33"")"),889700)</f>
        <v>889700</v>
      </c>
      <c r="M58" s="93">
        <f ca="1">IFERROR(__xludf.DUMMYFUNCTION("IMPORTRANGE(""https://docs.google.com/spreadsheets/d/1MeEWN-I1oV_STSDYn1IFDPWt_1FKiwhDph83XaGc0o0/edit?usp=sharing"",""งบพรบ!AB33"")"),667275)</f>
        <v>667275</v>
      </c>
      <c r="N58" s="93">
        <f ca="1">IFERROR(__xludf.DUMMYFUNCTION("IMPORTRANGE(""https://docs.google.com/spreadsheets/d/1MeEWN-I1oV_STSDYn1IFDPWt_1FKiwhDph83XaGc0o0/edit?usp=sharing"",""งบพรบ!AD33"")"),620581.45)</f>
        <v>620581.44999999995</v>
      </c>
      <c r="O58" s="93">
        <f t="shared" ca="1" si="32"/>
        <v>69.751764639766208</v>
      </c>
      <c r="P58" s="93">
        <f t="shared" ca="1" si="33"/>
        <v>93.002352853021605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32200</v>
      </c>
      <c r="M59" s="497">
        <f t="shared" ca="1" si="36"/>
        <v>32200</v>
      </c>
      <c r="N59" s="497">
        <f t="shared" ca="1" si="36"/>
        <v>32200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IFERROR(__xludf.DUMMYFUNCTION("IMPORTRANGE(""https://docs.google.com/spreadsheets/d/1MeEWN-I1oV_STSDYn1IFDPWt_1FKiwhDph83XaGc0o0/edit?usp=sharing"",""งบพรบ!Z33"")"),32200)</f>
        <v>32200</v>
      </c>
      <c r="M61" s="52">
        <f ca="1">IFERROR(__xludf.DUMMYFUNCTION("IMPORTRANGE(""https://docs.google.com/spreadsheets/d/1MeEWN-I1oV_STSDYn1IFDPWt_1FKiwhDph83XaGc0o0/edit?usp=sharing"",""งบพรบ!AC33"")"),32200)</f>
        <v>32200</v>
      </c>
      <c r="N61" s="52">
        <f ca="1">IFERROR(__xludf.DUMMYFUNCTION("IMPORTRANGE(""https://docs.google.com/spreadsheets/d/1MeEWN-I1oV_STSDYn1IFDPWt_1FKiwhDph83XaGc0o0/edit?usp=sharing"",""งบพรบ!AE33"")"),32200)</f>
        <v>32200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787480</v>
      </c>
      <c r="N66" s="155">
        <f t="shared" ca="1" si="39"/>
        <v>705761.34</v>
      </c>
      <c r="O66" s="155">
        <f t="shared" ref="O66:O74" ca="1" si="40">IF(L66&gt;0,N66*100/L66,0)</f>
        <v>69.739262845849808</v>
      </c>
      <c r="P66" s="155">
        <f t="shared" ref="P66:P74" ca="1" si="41">IF(M66&gt;0,N66*100/M66,0)</f>
        <v>89.622763752730222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787480</v>
      </c>
      <c r="N68" s="93">
        <f t="shared" ca="1" si="42"/>
        <v>705761.34</v>
      </c>
      <c r="O68" s="93">
        <f t="shared" ca="1" si="40"/>
        <v>69.739262845849808</v>
      </c>
      <c r="P68" s="93">
        <f t="shared" ca="1" si="41"/>
        <v>89.622763752730222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787480</v>
      </c>
      <c r="N69" s="497">
        <f t="shared" ca="1" si="43"/>
        <v>705761.34</v>
      </c>
      <c r="O69" s="497">
        <f t="shared" ca="1" si="40"/>
        <v>69.739262845849808</v>
      </c>
      <c r="P69" s="497">
        <f t="shared" ca="1" si="41"/>
        <v>89.622763752730222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IFERROR(__xludf.DUMMYFUNCTION("IMPORTRANGE(""https://docs.google.com/spreadsheets/d/1MeEWN-I1oV_STSDYn1IFDPWt_1FKiwhDph83XaGc0o0/edit?usp=sharing"",""งบพรบ!AG33"")"),1012000)</f>
        <v>1012000</v>
      </c>
      <c r="M71" s="93">
        <f ca="1">IFERROR(__xludf.DUMMYFUNCTION("IMPORTRANGE(""https://docs.google.com/spreadsheets/d/1MeEWN-I1oV_STSDYn1IFDPWt_1FKiwhDph83XaGc0o0/edit?usp=sharing"",""งบพรบ!AL33"")"),787480)</f>
        <v>787480</v>
      </c>
      <c r="N71" s="93">
        <f ca="1">IFERROR(__xludf.DUMMYFUNCTION("IMPORTRANGE(""https://docs.google.com/spreadsheets/d/1MeEWN-I1oV_STSDYn1IFDPWt_1FKiwhDph83XaGc0o0/edit?usp=sharing"",""งบพรบ!AN33"")"),705761.34)</f>
        <v>705761.34</v>
      </c>
      <c r="O71" s="93">
        <f t="shared" ca="1" si="40"/>
        <v>69.739262845849808</v>
      </c>
      <c r="P71" s="93">
        <f t="shared" ca="1" si="41"/>
        <v>89.622763752730222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IFERROR(__xludf.DUMMYFUNCTION("IMPORTRANGE(""https://docs.google.com/spreadsheets/d/1MeEWN-I1oV_STSDYn1IFDPWt_1FKiwhDph83XaGc0o0/edit?usp=sharing"",""งบพรบ!AJ33"")"),0)</f>
        <v>0</v>
      </c>
      <c r="M74" s="93">
        <f ca="1">IFERROR(__xludf.DUMMYFUNCTION("IMPORTRANGE(""https://docs.google.com/spreadsheets/d/1MeEWN-I1oV_STSDYn1IFDPWt_1FKiwhDph83XaGc0o0/edit?usp=sharing"",""งบพรบ!AM33"")"),0)</f>
        <v>0</v>
      </c>
      <c r="N74" s="93">
        <f ca="1">IFERROR(__xludf.DUMMYFUNCTION("IMPORTRANGE(""https://docs.google.com/spreadsheets/d/1MeEWN-I1oV_STSDYn1IFDPWt_1FKiwhDph83XaGc0o0/edit?usp=sharing"",""งบพรบ!AO33"")"),0)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IFERROR(__xludf.DUMMYFUNCTION("IMPORTRANGE(""https://docs.google.com/spreadsheets/d/1QqKyyYR6Q21VydFLVH3TRQUabQu_ym0Zz7PgGX0-kHA/edit?usp=sharing"",""แผน!F33"")"),1)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IFERROR(__xludf.DUMMYFUNCTION("IMPORTRANGE(""https://docs.google.com/spreadsheets/d/1QqKyyYR6Q21VydFLVH3TRQUabQu_ym0Zz7PgGX0-kHA/edit?usp=sharing"",""แผน!G33"")"),30)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101480</v>
      </c>
      <c r="N88" s="155">
        <f t="shared" ca="1" si="49"/>
        <v>101052.88</v>
      </c>
      <c r="O88" s="155">
        <f t="shared" ref="O88:O96" ca="1" si="50">IF(L88&gt;0,N88*100/L88,0)</f>
        <v>90.891239431552435</v>
      </c>
      <c r="P88" s="155">
        <f t="shared" ref="P88:P96" ca="1" si="51">IF(M88&gt;0,N88*100/M88,0)</f>
        <v>99.579109184075676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101480</v>
      </c>
      <c r="N90" s="93">
        <f t="shared" ca="1" si="52"/>
        <v>101052.88</v>
      </c>
      <c r="O90" s="93">
        <f t="shared" ca="1" si="50"/>
        <v>90.891239431552435</v>
      </c>
      <c r="P90" s="93">
        <f t="shared" ca="1" si="51"/>
        <v>99.579109184075676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101480</v>
      </c>
      <c r="N91" s="497">
        <f t="shared" ca="1" si="53"/>
        <v>101052.88</v>
      </c>
      <c r="O91" s="497">
        <f t="shared" ca="1" si="50"/>
        <v>90.891239431552435</v>
      </c>
      <c r="P91" s="497">
        <f t="shared" ca="1" si="51"/>
        <v>99.579109184075676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IFERROR(__xludf.DUMMYFUNCTION("IMPORTRANGE(""https://docs.google.com/spreadsheets/d/1MeEWN-I1oV_STSDYn1IFDPWt_1FKiwhDph83XaGc0o0/edit?usp=sharing"",""งบพรบ!AQ33"")"),111180)</f>
        <v>111180</v>
      </c>
      <c r="M93" s="93">
        <f ca="1">IFERROR(__xludf.DUMMYFUNCTION("IMPORTRANGE(""https://docs.google.com/spreadsheets/d/1MeEWN-I1oV_STSDYn1IFDPWt_1FKiwhDph83XaGc0o0/edit?usp=sharing"",""งบพรบ!AV33"")"),101480)</f>
        <v>101480</v>
      </c>
      <c r="N93" s="93">
        <f ca="1">IFERROR(__xludf.DUMMYFUNCTION("IMPORTRANGE(""https://docs.google.com/spreadsheets/d/1MeEWN-I1oV_STSDYn1IFDPWt_1FKiwhDph83XaGc0o0/edit?usp=sharing"",""งบพรบ!AX33"")"),101052.88)</f>
        <v>101052.88</v>
      </c>
      <c r="O93" s="93">
        <f t="shared" ca="1" si="50"/>
        <v>90.891239431552435</v>
      </c>
      <c r="P93" s="93">
        <f t="shared" ca="1" si="51"/>
        <v>99.579109184075676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IFERROR(__xludf.DUMMYFUNCTION("IMPORTRANGE(""https://docs.google.com/spreadsheets/d/1MeEWN-I1oV_STSDYn1IFDPWt_1FKiwhDph83XaGc0o0/edit?usp=sharing"",""งบพรบ!AT33"")"),0)</f>
        <v>0</v>
      </c>
      <c r="M96" s="93">
        <f ca="1">IFERROR(__xludf.DUMMYFUNCTION("IMPORTRANGE(""https://docs.google.com/spreadsheets/d/1MeEWN-I1oV_STSDYn1IFDPWt_1FKiwhDph83XaGc0o0/edit?usp=sharing"",""งบพรบ!AW33"")"),0)</f>
        <v>0</v>
      </c>
      <c r="N96" s="93">
        <f ca="1">IFERROR(__xludf.DUMMYFUNCTION("IMPORTRANGE(""https://docs.google.com/spreadsheets/d/1MeEWN-I1oV_STSDYn1IFDPWt_1FKiwhDph83XaGc0o0/edit?usp=sharing"",""งบพรบ!AY33"")"),0)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IFERROR(__xludf.DUMMYFUNCTION("IMPORTRANGE(""https://docs.google.com/spreadsheets/d/1QqKyyYR6Q21VydFLVH3TRQUabQu_ym0Zz7PgGX0-kHA/edit?usp=sharing"",""แผน!K33"")"),60)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IFERROR(__xludf.DUMMYFUNCTION("IMPORTRANGE(""https://docs.google.com/spreadsheets/d/1QqKyyYR6Q21VydFLVH3TRQUabQu_ym0Zz7PgGX0-kHA/edit?usp=sharing"",""แผน!L33"")"),20)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IFERROR(__xludf.DUMMYFUNCTION("IMPORTRANGE(""https://docs.google.com/spreadsheets/d/1QqKyyYR6Q21VydFLVH3TRQUabQu_ym0Zz7PgGX0-kHA/edit?usp=sharing"",""แผน!N33"")"),60)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IFERROR(__xludf.DUMMYFUNCTION("IMPORTRANGE(""https://docs.google.com/spreadsheets/d/1QqKyyYR6Q21VydFLVH3TRQUabQu_ym0Zz7PgGX0-kHA/edit?usp=sharing"",""แผน!O33"")"),20)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IFERROR(__xludf.DUMMYFUNCTION("IMPORTRANGE(""https://docs.google.com/spreadsheets/d/1QqKyyYR6Q21VydFLVH3TRQUabQu_ym0Zz7PgGX0-kHA/edit?usp=sharing"",""แผน!O33"")"),20)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IFERROR(__xludf.DUMMYFUNCTION("IMPORTRANGE(""https://docs.google.com/spreadsheets/d/1QqKyyYR6Q21VydFLVH3TRQUabQu_ym0Zz7PgGX0-kHA/edit?usp=sharing"",""แผน!R33"")"),20)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IFERROR(__xludf.DUMMYFUNCTION("IMPORTRANGE(""https://docs.google.com/spreadsheets/d/1QqKyyYR6Q21VydFLVH3TRQUabQu_ym0Zz7PgGX0-kHA/edit?usp=sharing"",""แผน!R33"")"),20)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IFERROR(__xludf.DUMMYFUNCTION("IMPORTRANGE(""https://docs.google.com/spreadsheets/d/1QqKyyYR6Q21VydFLVH3TRQUabQu_ym0Zz7PgGX0-kHA/edit?usp=sharing"",""แผน!R33"")"),20)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IFERROR(__xludf.DUMMYFUNCTION("IMPORTRANGE(""https://docs.google.com/spreadsheets/d/1MeEWN-I1oV_STSDYn1IFDPWt_1FKiwhDph83XaGc0o0/edit?usp=sharing"",""งบพรบ!BA33"")"),0)</f>
        <v>0</v>
      </c>
      <c r="M124" s="93">
        <f ca="1">IFERROR(__xludf.DUMMYFUNCTION("IMPORTRANGE(""https://docs.google.com/spreadsheets/d/1MeEWN-I1oV_STSDYn1IFDPWt_1FKiwhDph83XaGc0o0/edit?usp=sharing"",""งบพรบ!BF33"")"),0)</f>
        <v>0</v>
      </c>
      <c r="N124" s="93">
        <f ca="1">IFERROR(__xludf.DUMMYFUNCTION("IMPORTRANGE(""https://docs.google.com/spreadsheets/d/1MeEWN-I1oV_STSDYn1IFDPWt_1FKiwhDph83XaGc0o0/edit?usp=sharing"",""งบพรบ!BH33"")"),0)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IFERROR(__xludf.DUMMYFUNCTION("IMPORTRANGE(""https://docs.google.com/spreadsheets/d/1MeEWN-I1oV_STSDYn1IFDPWt_1FKiwhDph83XaGc0o0/edit?usp=sharing"",""งบพรบ!BD33"")"),0)</f>
        <v>0</v>
      </c>
      <c r="M127" s="93">
        <f ca="1">IFERROR(__xludf.DUMMYFUNCTION("IMPORTRANGE(""https://docs.google.com/spreadsheets/d/1MeEWN-I1oV_STSDYn1IFDPWt_1FKiwhDph83XaGc0o0/edit?usp=sharing"",""งบพรบ!BG33"")"),0)</f>
        <v>0</v>
      </c>
      <c r="N127" s="93">
        <f ca="1">IFERROR(__xludf.DUMMYFUNCTION("IMPORTRANGE(""https://docs.google.com/spreadsheets/d/1MeEWN-I1oV_STSDYn1IFDPWt_1FKiwhDph83XaGc0o0/edit?usp=sharing"",""งบพรบ!BI33"")"),0)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IFERROR(__xludf.DUMMYFUNCTION("IMPORTRANGE(""https://docs.google.com/spreadsheets/d/1MeEWN-I1oV_STSDYn1IFDPWt_1FKiwhDph83XaGc0o0/edit?usp=sharing"",""งบพรบ!BK33"")"),0)</f>
        <v>0</v>
      </c>
      <c r="M137" s="93">
        <f ca="1">IFERROR(__xludf.DUMMYFUNCTION("IMPORTRANGE(""https://docs.google.com/spreadsheets/d/1MeEWN-I1oV_STSDYn1IFDPWt_1FKiwhDph83XaGc0o0/edit?usp=sharing"",""งบพรบ!BP33"")"),0)</f>
        <v>0</v>
      </c>
      <c r="N137" s="93">
        <f ca="1">IFERROR(__xludf.DUMMYFUNCTION("IMPORTRANGE(""https://docs.google.com/spreadsheets/d/1MeEWN-I1oV_STSDYn1IFDPWt_1FKiwhDph83XaGc0o0/edit?usp=sharing"",""งบพรบ!BR33"")"),0)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IFERROR(__xludf.DUMMYFUNCTION("IMPORTRANGE(""https://docs.google.com/spreadsheets/d/1MeEWN-I1oV_STSDYn1IFDPWt_1FKiwhDph83XaGc0o0/edit?usp=sharing"",""งบพรบ!BN33"")"),0)</f>
        <v>0</v>
      </c>
      <c r="M140" s="93">
        <f ca="1">IFERROR(__xludf.DUMMYFUNCTION("IMPORTRANGE(""https://docs.google.com/spreadsheets/d/1MeEWN-I1oV_STSDYn1IFDPWt_1FKiwhDph83XaGc0o0/edit?usp=sharing"",""งบพรบ!BQ33"")"),0)</f>
        <v>0</v>
      </c>
      <c r="N140" s="93">
        <f ca="1">IFERROR(__xludf.DUMMYFUNCTION("IMPORTRANGE(""https://docs.google.com/spreadsheets/d/1MeEWN-I1oV_STSDYn1IFDPWt_1FKiwhDph83XaGc0o0/edit?usp=sharing"",""งบพรบ!BS33"")"),0)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IFERROR(__xludf.DUMMYFUNCTION("IMPORTRANGE(""https://docs.google.com/spreadsheets/d/1MeEWN-I1oV_STSDYn1IFDPWt_1FKiwhDph83XaGc0o0/edit?usp=sharing"",""งบพรบ!BU33"")"),0)</f>
        <v>0</v>
      </c>
      <c r="M154" s="93">
        <f ca="1">IFERROR(__xludf.DUMMYFUNCTION("IMPORTRANGE(""https://docs.google.com/spreadsheets/d/1MeEWN-I1oV_STSDYn1IFDPWt_1FKiwhDph83XaGc0o0/edit?usp=sharing"",""งบพรบ!BZ33"")"),0)</f>
        <v>0</v>
      </c>
      <c r="N154" s="93">
        <f ca="1">IFERROR(__xludf.DUMMYFUNCTION("IMPORTRANGE(""https://docs.google.com/spreadsheets/d/1MeEWN-I1oV_STSDYn1IFDPWt_1FKiwhDph83XaGc0o0/edit?usp=sharing"",""งบพรบ!CB33"")"),0)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IFERROR(__xludf.DUMMYFUNCTION("IMPORTRANGE(""https://docs.google.com/spreadsheets/d/1MeEWN-I1oV_STSDYn1IFDPWt_1FKiwhDph83XaGc0o0/edit?usp=sharing"",""งบพรบ!BX33"")"),0)</f>
        <v>0</v>
      </c>
      <c r="M157" s="93">
        <f ca="1">IFERROR(__xludf.DUMMYFUNCTION("IMPORTRANGE(""https://docs.google.com/spreadsheets/d/1MeEWN-I1oV_STSDYn1IFDPWt_1FKiwhDph83XaGc0o0/edit?usp=sharing"",""งบพรบ!CA33"")"),0)</f>
        <v>0</v>
      </c>
      <c r="N157" s="93">
        <f ca="1">IFERROR(__xludf.DUMMYFUNCTION("IMPORTRANGE(""https://docs.google.com/spreadsheets/d/1MeEWN-I1oV_STSDYn1IFDPWt_1FKiwhDph83XaGc0o0/edit?usp=sharing"",""งบพรบ!CC33"")"),0)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20980</v>
      </c>
      <c r="O165" s="155">
        <f t="shared" ref="O165:O173" ca="1" si="85">IF(L165&gt;0,N165*100/L165,0)</f>
        <v>99.667458432304045</v>
      </c>
      <c r="P165" s="155">
        <f t="shared" ref="P165:P173" ca="1" si="86">IF(M165&gt;0,N165*100/M165,0)</f>
        <v>99.667458432304045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20980</v>
      </c>
      <c r="O167" s="93">
        <f t="shared" ca="1" si="85"/>
        <v>99.667458432304045</v>
      </c>
      <c r="P167" s="93">
        <f t="shared" ca="1" si="86"/>
        <v>99.667458432304045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20980</v>
      </c>
      <c r="O168" s="497">
        <f t="shared" ca="1" si="85"/>
        <v>99.667458432304045</v>
      </c>
      <c r="P168" s="497">
        <f t="shared" ca="1" si="86"/>
        <v>99.667458432304045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IFERROR(__xludf.DUMMYFUNCTION("IMPORTRANGE(""https://docs.google.com/spreadsheets/d/1MeEWN-I1oV_STSDYn1IFDPWt_1FKiwhDph83XaGc0o0/edit?usp=sharing"",""งบพรบ!CE33"")"),21050)</f>
        <v>21050</v>
      </c>
      <c r="M170" s="93">
        <f ca="1">IFERROR(__xludf.DUMMYFUNCTION("IMPORTRANGE(""https://docs.google.com/spreadsheets/d/1MeEWN-I1oV_STSDYn1IFDPWt_1FKiwhDph83XaGc0o0/edit?usp=sharing"",""งบพรบ!CJ33"")"),21050)</f>
        <v>21050</v>
      </c>
      <c r="N170" s="93">
        <f ca="1">IFERROR(__xludf.DUMMYFUNCTION("IMPORTRANGE(""https://docs.google.com/spreadsheets/d/1MeEWN-I1oV_STSDYn1IFDPWt_1FKiwhDph83XaGc0o0/edit?usp=sharing"",""งบพรบ!CL33"")"),20980)</f>
        <v>20980</v>
      </c>
      <c r="O170" s="93">
        <f t="shared" ca="1" si="85"/>
        <v>99.667458432304045</v>
      </c>
      <c r="P170" s="93">
        <f t="shared" ca="1" si="86"/>
        <v>99.667458432304045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IFERROR(__xludf.DUMMYFUNCTION("IMPORTRANGE(""https://docs.google.com/spreadsheets/d/1MeEWN-I1oV_STSDYn1IFDPWt_1FKiwhDph83XaGc0o0/edit?usp=sharing"",""งบพรบ!CH33"")"),0)</f>
        <v>0</v>
      </c>
      <c r="M173" s="93">
        <f ca="1">IFERROR(__xludf.DUMMYFUNCTION("IMPORTRANGE(""https://docs.google.com/spreadsheets/d/1MeEWN-I1oV_STSDYn1IFDPWt_1FKiwhDph83XaGc0o0/edit?usp=sharing"",""งบพรบ!CK33"")"),0)</f>
        <v>0</v>
      </c>
      <c r="N173" s="93">
        <f ca="1">IFERROR(__xludf.DUMMYFUNCTION("IMPORTRANGE(""https://docs.google.com/spreadsheets/d/1MeEWN-I1oV_STSDYn1IFDPWt_1FKiwhDph83XaGc0o0/edit?usp=sharing"",""งบพรบ!CM33"")"),0)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63500</v>
      </c>
      <c r="M181" s="155">
        <f t="shared" ca="1" si="92"/>
        <v>81300</v>
      </c>
      <c r="N181" s="155">
        <f t="shared" ca="1" si="92"/>
        <v>72865</v>
      </c>
      <c r="O181" s="155">
        <f t="shared" ref="O181:O189" ca="1" si="93">IF(L181&gt;0,N181*100/L181,0)</f>
        <v>114.74803149606299</v>
      </c>
      <c r="P181" s="155">
        <f t="shared" ref="P181:P189" ca="1" si="94">IF(M181&gt;0,N181*100/M181,0)</f>
        <v>89.624846248462489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63500</v>
      </c>
      <c r="M183" s="93">
        <f t="shared" ca="1" si="95"/>
        <v>81300</v>
      </c>
      <c r="N183" s="93">
        <f t="shared" ca="1" si="95"/>
        <v>72865</v>
      </c>
      <c r="O183" s="93">
        <f t="shared" ca="1" si="93"/>
        <v>114.74803149606299</v>
      </c>
      <c r="P183" s="93">
        <f t="shared" ca="1" si="94"/>
        <v>89.624846248462489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63500</v>
      </c>
      <c r="M184" s="497">
        <f t="shared" ca="1" si="96"/>
        <v>81300</v>
      </c>
      <c r="N184" s="497">
        <f t="shared" ca="1" si="96"/>
        <v>72865</v>
      </c>
      <c r="O184" s="497">
        <f t="shared" ca="1" si="93"/>
        <v>114.74803149606299</v>
      </c>
      <c r="P184" s="497">
        <f t="shared" ca="1" si="94"/>
        <v>89.624846248462489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IFERROR(__xludf.DUMMYFUNCTION("IMPORTRANGE(""https://docs.google.com/spreadsheets/d/1MeEWN-I1oV_STSDYn1IFDPWt_1FKiwhDph83XaGc0o0/edit?usp=sharing"",""งบพรบ!CO33"")"),63500)</f>
        <v>63500</v>
      </c>
      <c r="M186" s="93">
        <f ca="1">IFERROR(__xludf.DUMMYFUNCTION("IMPORTRANGE(""https://docs.google.com/spreadsheets/d/1MeEWN-I1oV_STSDYn1IFDPWt_1FKiwhDph83XaGc0o0/edit?usp=sharing"",""งบพรบ!CT33"")"),81300)</f>
        <v>81300</v>
      </c>
      <c r="N186" s="93">
        <f ca="1">IFERROR(__xludf.DUMMYFUNCTION("IMPORTRANGE(""https://docs.google.com/spreadsheets/d/1MeEWN-I1oV_STSDYn1IFDPWt_1FKiwhDph83XaGc0o0/edit?usp=sharing"",""งบพรบ!CV33"")"),72865)</f>
        <v>72865</v>
      </c>
      <c r="O186" s="93">
        <f t="shared" ca="1" si="93"/>
        <v>114.74803149606299</v>
      </c>
      <c r="P186" s="93">
        <f t="shared" ca="1" si="94"/>
        <v>89.624846248462489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IFERROR(__xludf.DUMMYFUNCTION("IMPORTRANGE(""https://docs.google.com/spreadsheets/d/1MeEWN-I1oV_STSDYn1IFDPWt_1FKiwhDph83XaGc0o0/edit?usp=sharing"",""งบพรบ!CR33"")"),0)</f>
        <v>0</v>
      </c>
      <c r="M189" s="93">
        <f ca="1">IFERROR(__xludf.DUMMYFUNCTION("IMPORTRANGE(""https://docs.google.com/spreadsheets/d/1MeEWN-I1oV_STSDYn1IFDPWt_1FKiwhDph83XaGc0o0/edit?usp=sharing"",""งบพรบ!CU33"")"),0)</f>
        <v>0</v>
      </c>
      <c r="N189" s="93">
        <f ca="1">IFERROR(__xludf.DUMMYFUNCTION("IMPORTRANGE(""https://docs.google.com/spreadsheets/d/1MeEWN-I1oV_STSDYn1IFDPWt_1FKiwhDph83XaGc0o0/edit?usp=sharing"",""งบพรบ!CW33"")"),0)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IFERROR(__xludf.DUMMYFUNCTION("IMPORTRANGE(""https://docs.google.com/spreadsheets/d/1QqKyyYR6Q21VydFLVH3TRQUabQu_ym0Zz7PgGX0-kHA/edit?usp=sharing"",""แผน!AE33"")"),3000)</f>
        <v>3000</v>
      </c>
      <c r="M199" s="497"/>
      <c r="N199" s="838">
        <v>2480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IFERROR(__xludf.DUMMYFUNCTION("IMPORTRANGE(""https://docs.google.com/spreadsheets/d/1QqKyyYR6Q21VydFLVH3TRQUabQu_ym0Zz7PgGX0-kHA/edit?usp=sharing"",""แผน!AF33"")"),24000)</f>
        <v>24000</v>
      </c>
      <c r="M200" s="497"/>
      <c r="N200" s="838">
        <v>29550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IFERROR(__xludf.DUMMYFUNCTION("IMPORTRANGE(""https://docs.google.com/spreadsheets/d/1QqKyyYR6Q21VydFLVH3TRQUabQu_ym0Zz7PgGX0-kHA/edit?usp=sharing"",""แผน!AG33"")"),12000)</f>
        <v>12000</v>
      </c>
      <c r="M201" s="497"/>
      <c r="N201" s="838">
        <v>6970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IFERROR(__xludf.DUMMYFUNCTION("IMPORTRANGE(""https://docs.google.com/spreadsheets/d/1QqKyyYR6Q21VydFLVH3TRQUabQu_ym0Zz7PgGX0-kHA/edit?usp=sharing"",""แผน!AH33"")"),0)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IFERROR(__xludf.DUMMYFUNCTION("IMPORTRANGE(""https://docs.google.com/spreadsheets/d/1QqKyyYR6Q21VydFLVH3TRQUabQu_ym0Zz7PgGX0-kHA/edit?usp=sharing"",""แผน!AK33"")"),0)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IFERROR(__xludf.DUMMYFUNCTION("IMPORTRANGE(""https://docs.google.com/spreadsheets/d/1QqKyyYR6Q21VydFLVH3TRQUabQu_ym0Zz7PgGX0-kHA/edit?usp=sharing"",""แผน!AL33"")"),0)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IFERROR(__xludf.DUMMYFUNCTION("IMPORTRANGE(""https://docs.google.com/spreadsheets/d/1QqKyyYR6Q21VydFLVH3TRQUabQu_ym0Zz7PgGX0-kHA/edit?usp=sharing"",""แผน!AM33"")"),0)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105</v>
      </c>
      <c r="O217" s="155">
        <f ca="1">IF(L217&gt;0,N217*100/L217,0)</f>
        <v>0.56756756756756754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IFERROR(__xludf.DUMMYFUNCTION("IMPORTRANGE(""https://docs.google.com/spreadsheets/d/1QqKyyYR6Q21VydFLVH3TRQUabQu_ym0Zz7PgGX0-kHA/edit?usp=sharing"",""แผน!AP33"")"),5000)</f>
        <v>5000</v>
      </c>
      <c r="M218" s="497"/>
      <c r="N218" s="838">
        <v>105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IFERROR(__xludf.DUMMYFUNCTION("IMPORTRANGE(""https://docs.google.com/spreadsheets/d/1QqKyyYR6Q21VydFLVH3TRQUabQu_ym0Zz7PgGX0-kHA/edit?usp=sharing"",""แผน!AQ33"")"),13500)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IFERROR(__xludf.DUMMYFUNCTION("IMPORTRANGE(""https://docs.google.com/spreadsheets/d/1QqKyyYR6Q21VydFLVH3TRQUabQu_ym0Zz7PgGX0-kHA/edit?usp=sharing"",""แผน!AR33"")"),0)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IFERROR(__xludf.DUMMYFUNCTION("IMPORTRANGE(""https://docs.google.com/spreadsheets/d/1QqKyyYR6Q21VydFLVH3TRQUabQu_ym0Zz7PgGX0-kHA/edit?usp=sharing"",""แผน!AT33"")"),50000)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IFERROR(__xludf.DUMMYFUNCTION("IMPORTRANGE(""https://docs.google.com/spreadsheets/d/1QqKyyYR6Q21VydFLVH3TRQUabQu_ym0Zz7PgGX0-kHA/edit?usp=sharing"",""แผน!AT33"")"),50000)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25340</v>
      </c>
      <c r="O261" s="155">
        <f t="shared" ref="O261:O269" ca="1" si="117">IF(L261&gt;0,N261*100/L261,0)</f>
        <v>82.54071661237785</v>
      </c>
      <c r="P261" s="155">
        <f t="shared" ref="P261:P269" ca="1" si="118">IF(M261&gt;0,N261*100/M261,0)</f>
        <v>91.480144404332137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25340</v>
      </c>
      <c r="O263" s="93">
        <f t="shared" ca="1" si="117"/>
        <v>82.54071661237785</v>
      </c>
      <c r="P263" s="93">
        <f t="shared" ca="1" si="118"/>
        <v>91.480144404332137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25340</v>
      </c>
      <c r="O264" s="497">
        <f t="shared" ca="1" si="117"/>
        <v>82.54071661237785</v>
      </c>
      <c r="P264" s="497">
        <f t="shared" ca="1" si="118"/>
        <v>91.480144404332137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IFERROR(__xludf.DUMMYFUNCTION("IMPORTRANGE(""https://docs.google.com/spreadsheets/d/1MeEWN-I1oV_STSDYn1IFDPWt_1FKiwhDph83XaGc0o0/edit?usp=sharing"",""งบพรบ!CY33"")"),30700)</f>
        <v>30700</v>
      </c>
      <c r="M266" s="93">
        <f ca="1">IFERROR(__xludf.DUMMYFUNCTION("IMPORTRANGE(""https://docs.google.com/spreadsheets/d/1MeEWN-I1oV_STSDYn1IFDPWt_1FKiwhDph83XaGc0o0/edit?usp=sharing"",""งบพรบ!DD33"")"),27700)</f>
        <v>27700</v>
      </c>
      <c r="N266" s="93">
        <f ca="1">IFERROR(__xludf.DUMMYFUNCTION("IMPORTRANGE(""https://docs.google.com/spreadsheets/d/1MeEWN-I1oV_STSDYn1IFDPWt_1FKiwhDph83XaGc0o0/edit?usp=sharing"",""งบพรบ!DF33"")"),25340)</f>
        <v>25340</v>
      </c>
      <c r="O266" s="93">
        <f t="shared" ca="1" si="117"/>
        <v>82.54071661237785</v>
      </c>
      <c r="P266" s="93">
        <f t="shared" ca="1" si="118"/>
        <v>91.480144404332137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IFERROR(__xludf.DUMMYFUNCTION("IMPORTRANGE(""https://docs.google.com/spreadsheets/d/1MeEWN-I1oV_STSDYn1IFDPWt_1FKiwhDph83XaGc0o0/edit?usp=sharing"",""งบพรบ!DB33"")"),0)</f>
        <v>0</v>
      </c>
      <c r="M269" s="93">
        <f ca="1">IFERROR(__xludf.DUMMYFUNCTION("IMPORTRANGE(""https://docs.google.com/spreadsheets/d/1MeEWN-I1oV_STSDYn1IFDPWt_1FKiwhDph83XaGc0o0/edit?usp=sharing"",""งบพรบ!DE33"")"),0)</f>
        <v>0</v>
      </c>
      <c r="N269" s="93">
        <f ca="1">IFERROR(__xludf.DUMMYFUNCTION("IMPORTRANGE(""https://docs.google.com/spreadsheets/d/1MeEWN-I1oV_STSDYn1IFDPWt_1FKiwhDph83XaGc0o0/edit?usp=sharing"",""งบพรบ!DG33"")"),0)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IFERROR(__xludf.DUMMYFUNCTION("IMPORTRANGE(""https://docs.google.com/spreadsheets/d/1QqKyyYR6Q21VydFLVH3TRQUabQu_ym0Zz7PgGX0-kHA/edit?usp=sharing"",""แผน!EA33"")"),26)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288310</v>
      </c>
      <c r="M277" s="155">
        <f t="shared" ca="1" si="125"/>
        <v>244160</v>
      </c>
      <c r="N277" s="155">
        <f t="shared" ca="1" si="125"/>
        <v>163142.39999999999</v>
      </c>
      <c r="O277" s="155">
        <f t="shared" ref="O277:O285" ca="1" si="126">IF(L277&gt;0,N277*100/L277,0)</f>
        <v>56.585758385071621</v>
      </c>
      <c r="P277" s="155">
        <f t="shared" ref="P277:P285" ca="1" si="127">IF(M277&gt;0,N277*100/M277,0)</f>
        <v>66.817824377457399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288310</v>
      </c>
      <c r="M279" s="93">
        <f t="shared" ca="1" si="128"/>
        <v>244160</v>
      </c>
      <c r="N279" s="93">
        <f t="shared" ca="1" si="128"/>
        <v>163142.39999999999</v>
      </c>
      <c r="O279" s="93">
        <f t="shared" ca="1" si="126"/>
        <v>56.585758385071621</v>
      </c>
      <c r="P279" s="93">
        <f t="shared" ca="1" si="127"/>
        <v>66.817824377457399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288310</v>
      </c>
      <c r="M280" s="497">
        <f t="shared" ca="1" si="129"/>
        <v>244160</v>
      </c>
      <c r="N280" s="497">
        <f t="shared" ca="1" si="129"/>
        <v>163142.39999999999</v>
      </c>
      <c r="O280" s="497">
        <f t="shared" ca="1" si="126"/>
        <v>56.585758385071621</v>
      </c>
      <c r="P280" s="497">
        <f t="shared" ca="1" si="127"/>
        <v>66.817824377457399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IFERROR(__xludf.DUMMYFUNCTION("IMPORTRANGE(""https://docs.google.com/spreadsheets/d/1MeEWN-I1oV_STSDYn1IFDPWt_1FKiwhDph83XaGc0o0/edit?usp=sharing"",""งบพรบ!DI33"")"),288310)</f>
        <v>288310</v>
      </c>
      <c r="M282" s="93">
        <f ca="1">IFERROR(__xludf.DUMMYFUNCTION("IMPORTRANGE(""https://docs.google.com/spreadsheets/d/1MeEWN-I1oV_STSDYn1IFDPWt_1FKiwhDph83XaGc0o0/edit?usp=sharing"",""งบพรบ!DN33"")"),244160)</f>
        <v>244160</v>
      </c>
      <c r="N282" s="93">
        <f ca="1">IFERROR(__xludf.DUMMYFUNCTION("IMPORTRANGE(""https://docs.google.com/spreadsheets/d/1MeEWN-I1oV_STSDYn1IFDPWt_1FKiwhDph83XaGc0o0/edit?usp=sharing"",""งบพรบ!DP33"")"),163142.4)</f>
        <v>163142.39999999999</v>
      </c>
      <c r="O282" s="93">
        <f t="shared" ca="1" si="126"/>
        <v>56.585758385071621</v>
      </c>
      <c r="P282" s="93">
        <f t="shared" ca="1" si="127"/>
        <v>66.817824377457399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IFERROR(__xludf.DUMMYFUNCTION("IMPORTRANGE(""https://docs.google.com/spreadsheets/d/1MeEWN-I1oV_STSDYn1IFDPWt_1FKiwhDph83XaGc0o0/edit?usp=sharing"",""งบพรบ!DL33"")"),0)</f>
        <v>0</v>
      </c>
      <c r="M285" s="93">
        <f ca="1">IFERROR(__xludf.DUMMYFUNCTION("IMPORTRANGE(""https://docs.google.com/spreadsheets/d/1MeEWN-I1oV_STSDYn1IFDPWt_1FKiwhDph83XaGc0o0/edit?usp=sharing"",""งบพรบ!DO33"")"),0)</f>
        <v>0</v>
      </c>
      <c r="N285" s="93">
        <f ca="1">IFERROR(__xludf.DUMMYFUNCTION("IMPORTRANGE(""https://docs.google.com/spreadsheets/d/1MeEWN-I1oV_STSDYn1IFDPWt_1FKiwhDph83XaGc0o0/edit?usp=sharing"",""งบพรบ!DQ33"")"),0)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IFERROR(__xludf.DUMMYFUNCTION("IMPORTRANGE(""https://docs.google.com/spreadsheets/d/1QqKyyYR6Q21VydFLVH3TRQUabQu_ym0Zz7PgGX0-kHA/edit?usp=sharing"",""แผน!EC33"")"),300)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IFERROR(__xludf.DUMMYFUNCTION("IMPORTRANGE(""https://docs.google.com/spreadsheets/d/1QqKyyYR6Q21VydFLVH3TRQUabQu_ym0Zz7PgGX0-kHA/edit?usp=sharing"",""แผน!EB33"")"),30)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IFERROR(__xludf.DUMMYFUNCTION("IMPORTRANGE(""https://docs.google.com/spreadsheets/d/1QqKyyYR6Q21VydFLVH3TRQUabQu_ym0Zz7PgGX0-kHA/edit?usp=sharing"",""แผน!EB33"")"),30)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IFERROR(__xludf.DUMMYFUNCTION("IMPORTRANGE(""https://docs.google.com/spreadsheets/d/1QqKyyYR6Q21VydFLVH3TRQUabQu_ym0Zz7PgGX0-kHA/edit?usp=sharing"",""แผน!EB33"")"),30)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IFERROR(__xludf.DUMMYFUNCTION("IMPORTRANGE(""https://docs.google.com/spreadsheets/d/1QqKyyYR6Q21VydFLVH3TRQUabQu_ym0Zz7PgGX0-kHA/edit?usp=sharing"",""แผน!EB33"")"),30)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IFERROR(__xludf.DUMMYFUNCTION("IMPORTRANGE(""https://docs.google.com/spreadsheets/d/1QqKyyYR6Q21VydFLVH3TRQUabQu_ym0Zz7PgGX0-kHA/edit?usp=sharing"",""แผน!EB33"")"),30)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64220</v>
      </c>
      <c r="O298" s="155">
        <f t="shared" ref="O298:O306" ca="1" si="136">IF(L298&gt;0,N298*100/L298,0)</f>
        <v>77.9368932038835</v>
      </c>
      <c r="P298" s="155">
        <f t="shared" ref="P298:P306" ca="1" si="137">IF(M298&gt;0,N298*100/M298,0)</f>
        <v>99.720496894409933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64220</v>
      </c>
      <c r="O300" s="93">
        <f t="shared" ca="1" si="136"/>
        <v>77.9368932038835</v>
      </c>
      <c r="P300" s="93">
        <f t="shared" ca="1" si="137"/>
        <v>99.720496894409933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64220</v>
      </c>
      <c r="O301" s="497">
        <f t="shared" ca="1" si="136"/>
        <v>77.9368932038835</v>
      </c>
      <c r="P301" s="497">
        <f t="shared" ca="1" si="137"/>
        <v>99.720496894409933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IFERROR(__xludf.DUMMYFUNCTION("IMPORTRANGE(""https://docs.google.com/spreadsheets/d/1MeEWN-I1oV_STSDYn1IFDPWt_1FKiwhDph83XaGc0o0/edit?usp=sharing"",""งบพรบ!DS33"")"),82400)</f>
        <v>82400</v>
      </c>
      <c r="M303" s="93">
        <f ca="1">IFERROR(__xludf.DUMMYFUNCTION("IMPORTRANGE(""https://docs.google.com/spreadsheets/d/1MeEWN-I1oV_STSDYn1IFDPWt_1FKiwhDph83XaGc0o0/edit?usp=sharing"",""งบพรบ!DX33"")"),64400)</f>
        <v>64400</v>
      </c>
      <c r="N303" s="93">
        <f ca="1">IFERROR(__xludf.DUMMYFUNCTION("IMPORTRANGE(""https://docs.google.com/spreadsheets/d/1MeEWN-I1oV_STSDYn1IFDPWt_1FKiwhDph83XaGc0o0/edit?usp=sharing"",""งบพรบ!DZ33"")"),64220)</f>
        <v>64220</v>
      </c>
      <c r="O303" s="93">
        <f t="shared" ca="1" si="136"/>
        <v>77.9368932038835</v>
      </c>
      <c r="P303" s="93">
        <f t="shared" ca="1" si="137"/>
        <v>99.720496894409933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IFERROR(__xludf.DUMMYFUNCTION("IMPORTRANGE(""https://docs.google.com/spreadsheets/d/1MeEWN-I1oV_STSDYn1IFDPWt_1FKiwhDph83XaGc0o0/edit?usp=sharing"",""งบพรบ!DV33"")"),0)</f>
        <v>0</v>
      </c>
      <c r="M306" s="93">
        <f ca="1">IFERROR(__xludf.DUMMYFUNCTION("IMPORTRANGE(""https://docs.google.com/spreadsheets/d/1MeEWN-I1oV_STSDYn1IFDPWt_1FKiwhDph83XaGc0o0/edit?usp=sharing"",""งบพรบ!DY33"")"),0)</f>
        <v>0</v>
      </c>
      <c r="N306" s="93">
        <f ca="1">IFERROR(__xludf.DUMMYFUNCTION("IMPORTRANGE(""https://docs.google.com/spreadsheets/d/1MeEWN-I1oV_STSDYn1IFDPWt_1FKiwhDph83XaGc0o0/edit?usp=sharing"",""งบพรบ!EA33"")"),0)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IFERROR(__xludf.DUMMYFUNCTION("IMPORTRANGE(""https://docs.google.com/spreadsheets/d/1QqKyyYR6Q21VydFLVH3TRQUabQu_ym0Zz7PgGX0-kHA/edit?usp=sharing"",""แผน!ED33"")"),20)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IFERROR(__xludf.DUMMYFUNCTION("IMPORTRANGE(""https://docs.google.com/spreadsheets/d/1QqKyyYR6Q21VydFLVH3TRQUabQu_ym0Zz7PgGX0-kHA/edit?usp=sharing"",""แผน!EE33"")"),4)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IFERROR(__xludf.DUMMYFUNCTION("IMPORTRANGE(""https://docs.google.com/spreadsheets/d/1MeEWN-I1oV_STSDYn1IFDPWt_1FKiwhDph83XaGc0o0/edit?usp=sharing"",""งบพรบ!EC33"")"),0)</f>
        <v>0</v>
      </c>
      <c r="M320" s="93">
        <f ca="1">IFERROR(__xludf.DUMMYFUNCTION("IMPORTRANGE(""https://docs.google.com/spreadsheets/d/1MeEWN-I1oV_STSDYn1IFDPWt_1FKiwhDph83XaGc0o0/edit?usp=sharing"",""งบพรบ!EH33"")"),0)</f>
        <v>0</v>
      </c>
      <c r="N320" s="93">
        <f ca="1">IFERROR(__xludf.DUMMYFUNCTION("IMPORTRANGE(""https://docs.google.com/spreadsheets/d/1MeEWN-I1oV_STSDYn1IFDPWt_1FKiwhDph83XaGc0o0/edit?usp=sharing"",""งบพรบ!EJ33"")"),0)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IFERROR(__xludf.DUMMYFUNCTION("IMPORTRANGE(""https://docs.google.com/spreadsheets/d/1MeEWN-I1oV_STSDYn1IFDPWt_1FKiwhDph83XaGc0o0/edit?usp=sharing"",""งบพรบ!EF33"")"),0)</f>
        <v>0</v>
      </c>
      <c r="M323" s="93">
        <f ca="1">IFERROR(__xludf.DUMMYFUNCTION("IMPORTRANGE(""https://docs.google.com/spreadsheets/d/1MeEWN-I1oV_STSDYn1IFDPWt_1FKiwhDph83XaGc0o0/edit?usp=sharing"",""งบพรบ!EI33"")"),0)</f>
        <v>0</v>
      </c>
      <c r="N323" s="93">
        <f ca="1">IFERROR(__xludf.DUMMYFUNCTION("IMPORTRANGE(""https://docs.google.com/spreadsheets/d/1MeEWN-I1oV_STSDYn1IFDPWt_1FKiwhDph83XaGc0o0/edit?usp=sharing"",""งบพรบ!EK33"")"),0)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IFERROR(__xludf.DUMMYFUNCTION("IMPORTRANGE(""https://docs.google.com/spreadsheets/d/1QqKyyYR6Q21VydFLVH3TRQUabQu_ym0Zz7PgGX0-kHA/edit?usp=sharing"",""แผน!EG33"")"),4300)</f>
        <v>4300</v>
      </c>
      <c r="J327" s="444">
        <f ca="1">J338+J341+J342+J343</f>
        <v>3993</v>
      </c>
      <c r="K327" s="445">
        <f ca="1">IF(I327&gt;0,J327*100/I327,0)</f>
        <v>92.860465116279073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139750</v>
      </c>
      <c r="N328" s="155">
        <f t="shared" ca="1" si="149"/>
        <v>90796</v>
      </c>
      <c r="O328" s="155">
        <f t="shared" ref="O328:O336" ca="1" si="150">IF(L328&gt;0,N328*100/L328,0)</f>
        <v>49.61530054644809</v>
      </c>
      <c r="P328" s="155">
        <f t="shared" ref="P328:P336" ca="1" si="151">IF(M328&gt;0,N328*100/M328,0)</f>
        <v>64.970304114490162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139750</v>
      </c>
      <c r="N330" s="93">
        <f t="shared" ca="1" si="152"/>
        <v>90796</v>
      </c>
      <c r="O330" s="93">
        <f t="shared" ca="1" si="150"/>
        <v>49.61530054644809</v>
      </c>
      <c r="P330" s="93">
        <f t="shared" ca="1" si="151"/>
        <v>64.970304114490162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139750</v>
      </c>
      <c r="N331" s="497">
        <f t="shared" ca="1" si="153"/>
        <v>90796</v>
      </c>
      <c r="O331" s="497">
        <f t="shared" ca="1" si="150"/>
        <v>49.61530054644809</v>
      </c>
      <c r="P331" s="497">
        <f t="shared" ca="1" si="151"/>
        <v>64.970304114490162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IFERROR(__xludf.DUMMYFUNCTION("IMPORTRANGE(""https://docs.google.com/spreadsheets/d/1MeEWN-I1oV_STSDYn1IFDPWt_1FKiwhDph83XaGc0o0/edit?usp=sharing"",""งบพรบ!EM33"")"),183000)</f>
        <v>183000</v>
      </c>
      <c r="M333" s="93">
        <f ca="1">IFERROR(__xludf.DUMMYFUNCTION("IMPORTRANGE(""https://docs.google.com/spreadsheets/d/1MeEWN-I1oV_STSDYn1IFDPWt_1FKiwhDph83XaGc0o0/edit?usp=sharing"",""งบพรบ!ER33"")"),139750)</f>
        <v>139750</v>
      </c>
      <c r="N333" s="93">
        <f ca="1">IFERROR(__xludf.DUMMYFUNCTION("IMPORTRANGE(""https://docs.google.com/spreadsheets/d/1MeEWN-I1oV_STSDYn1IFDPWt_1FKiwhDph83XaGc0o0/edit?usp=sharing"",""งบพรบ!ET33"")"),90796)</f>
        <v>90796</v>
      </c>
      <c r="O333" s="93">
        <f t="shared" ca="1" si="150"/>
        <v>49.61530054644809</v>
      </c>
      <c r="P333" s="93">
        <f t="shared" ca="1" si="151"/>
        <v>64.970304114490162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IFERROR(__xludf.DUMMYFUNCTION("IMPORTRANGE(""https://docs.google.com/spreadsheets/d/1MeEWN-I1oV_STSDYn1IFDPWt_1FKiwhDph83XaGc0o0/edit?usp=sharing"",""งบพรบ!EP33"")"),0)</f>
        <v>0</v>
      </c>
      <c r="M336" s="93">
        <f ca="1">IFERROR(__xludf.DUMMYFUNCTION("IMPORTRANGE(""https://docs.google.com/spreadsheets/d/1MeEWN-I1oV_STSDYn1IFDPWt_1FKiwhDph83XaGc0o0/edit?usp=sharing"",""งบพรบ!ES33"")"),0)</f>
        <v>0</v>
      </c>
      <c r="N336" s="93">
        <f ca="1">IFERROR(__xludf.DUMMYFUNCTION("IMPORTRANGE(""https://docs.google.com/spreadsheets/d/1MeEWN-I1oV_STSDYn1IFDPWt_1FKiwhDph83XaGc0o0/edit?usp=sharing"",""งบพรบ!EU33"")"),0)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IFERROR(__xludf.DUMMYFUNCTION("IMPORTRANGE(""https://docs.google.com/spreadsheets/d/1QqKyyYR6Q21VydFLVH3TRQUabQu_ym0Zz7PgGX0-kHA/edit?usp=sharing"",""แผน!EG33"")"),4300)</f>
        <v>4300</v>
      </c>
      <c r="J338" s="270">
        <f ca="1">IFERROR(__xludf.DUMMYFUNCTION("IMPORTRANGE(""https://docs.google.com/spreadsheets/d/1kVcqe37tkHyjCSG3S0O1AXqVkqjo8mSIZil3BcpIysc/edit?usp=sharing"",""ศูนย์!D33"")"),3679)</f>
        <v>3679</v>
      </c>
      <c r="K338" s="497">
        <f ca="1">IF(I338&gt;0,J338*100/I338,0)</f>
        <v>85.558139534883722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IFERROR(__xludf.DUMMYFUNCTION("IMPORTRANGE(""https://docs.google.com/spreadsheets/d/1QqKyyYR6Q21VydFLVH3TRQUabQu_ym0Zz7PgGX0-kHA/edit?usp=sharing"",""แผน!EH33"")"),10)</f>
        <v>10</v>
      </c>
      <c r="J340" s="270">
        <f ca="1">IFERROR(__xludf.DUMMYFUNCTION("IMPORTRANGE(""https://docs.google.com/spreadsheets/d/1kVcqe37tkHyjCSG3S0O1AXqVkqjo8mSIZil3BcpIysc/edit?usp=sharing"",""ศูนย์!E33"")"),8)</f>
        <v>8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IFERROR(__xludf.DUMMYFUNCTION("IMPORTRANGE(""https://docs.google.com/spreadsheets/d/1kVcqe37tkHyjCSG3S0O1AXqVkqjo8mSIZil3BcpIysc/edit?usp=sharing"",""ศูนย์!F33"")"),314)</f>
        <v>314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1082650</v>
      </c>
      <c r="M345" s="155">
        <f t="shared" ca="1" si="155"/>
        <v>946350</v>
      </c>
      <c r="N345" s="155">
        <f t="shared" ca="1" si="155"/>
        <v>739992.5</v>
      </c>
      <c r="O345" s="155">
        <f t="shared" ref="O345:O353" ca="1" si="156">IF(L345&gt;0,N345*100/L345,0)</f>
        <v>68.350113148293545</v>
      </c>
      <c r="P345" s="155">
        <f t="shared" ref="P345:P353" ca="1" si="157">IF(M345&gt;0,N345*100/M345,0)</f>
        <v>78.194378401225762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1082650</v>
      </c>
      <c r="M347" s="93">
        <f t="shared" ca="1" si="158"/>
        <v>946350</v>
      </c>
      <c r="N347" s="93">
        <f t="shared" ca="1" si="158"/>
        <v>739992.5</v>
      </c>
      <c r="O347" s="93">
        <f t="shared" ca="1" si="156"/>
        <v>68.350113148293545</v>
      </c>
      <c r="P347" s="93">
        <f t="shared" ca="1" si="157"/>
        <v>78.194378401225762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984850</v>
      </c>
      <c r="M348" s="497">
        <f t="shared" ca="1" si="159"/>
        <v>849150</v>
      </c>
      <c r="N348" s="497">
        <f t="shared" ca="1" si="159"/>
        <v>642792.5</v>
      </c>
      <c r="O348" s="497">
        <f t="shared" ca="1" si="156"/>
        <v>65.268061126059806</v>
      </c>
      <c r="P348" s="497">
        <f t="shared" ca="1" si="157"/>
        <v>75.698345404227751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IFERROR(__xludf.DUMMYFUNCTION("IMPORTRANGE(""https://docs.google.com/spreadsheets/d/1MeEWN-I1oV_STSDYn1IFDPWt_1FKiwhDph83XaGc0o0/edit?usp=sharing"",""งบพรบ!EW33"")"),984850)</f>
        <v>984850</v>
      </c>
      <c r="M350" s="93">
        <f ca="1">IFERROR(__xludf.DUMMYFUNCTION("IMPORTRANGE(""https://docs.google.com/spreadsheets/d/1MeEWN-I1oV_STSDYn1IFDPWt_1FKiwhDph83XaGc0o0/edit?usp=sharing"",""งบพรบ!FB33"")"),849150)</f>
        <v>849150</v>
      </c>
      <c r="N350" s="93">
        <f ca="1">IFERROR(__xludf.DUMMYFUNCTION("IMPORTRANGE(""https://docs.google.com/spreadsheets/d/1MeEWN-I1oV_STSDYn1IFDPWt_1FKiwhDph83XaGc0o0/edit?usp=sharing"",""งบพรบ!FD33"")"),642792.5)</f>
        <v>642792.5</v>
      </c>
      <c r="O350" s="93">
        <f t="shared" ca="1" si="156"/>
        <v>65.268061126059806</v>
      </c>
      <c r="P350" s="93">
        <f t="shared" ca="1" si="157"/>
        <v>75.698345404227751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97200</v>
      </c>
      <c r="N351" s="497">
        <f t="shared" ca="1" si="160"/>
        <v>97200</v>
      </c>
      <c r="O351" s="497">
        <f t="shared" ca="1" si="156"/>
        <v>99.386503067484668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IFERROR(__xludf.DUMMYFUNCTION("IMPORTRANGE(""https://docs.google.com/spreadsheets/d/1MeEWN-I1oV_STSDYn1IFDPWt_1FKiwhDph83XaGc0o0/edit?usp=sharing"",""งบพรบ!EZ33"")"),97800)</f>
        <v>97800</v>
      </c>
      <c r="M353" s="93">
        <f ca="1">IFERROR(__xludf.DUMMYFUNCTION("IMPORTRANGE(""https://docs.google.com/spreadsheets/d/1MeEWN-I1oV_STSDYn1IFDPWt_1FKiwhDph83XaGc0o0/edit?usp=sharing"",""งบพรบ!FC33"")"),97200)</f>
        <v>97200</v>
      </c>
      <c r="N353" s="93">
        <f ca="1">IFERROR(__xludf.DUMMYFUNCTION("IMPORTRANGE(""https://docs.google.com/spreadsheets/d/1MeEWN-I1oV_STSDYn1IFDPWt_1FKiwhDph83XaGc0o0/edit?usp=sharing"",""งบพรบ!FE33"")"),97200)</f>
        <v>97200</v>
      </c>
      <c r="O353" s="93">
        <f t="shared" ca="1" si="156"/>
        <v>99.386503067484668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IFERROR(__xludf.DUMMYFUNCTION("IMPORTRANGE(""https://docs.google.com/spreadsheets/d/1QqKyyYR6Q21VydFLVH3TRQUabQu_ym0Zz7PgGX0-kHA/edit?usp=sharing"",""แผน!EP33"")"),450)</f>
        <v>450</v>
      </c>
      <c r="J355" s="464">
        <f ca="1">J362</f>
        <v>165</v>
      </c>
      <c r="K355" s="465">
        <f ca="1">IF(I355&gt;0,J355*100/I355,0)</f>
        <v>36.666666666666664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IFERROR(__xludf.DUMMYFUNCTION("IMPORTRANGE(""https://docs.google.com/spreadsheets/d/1XWAQStnk-4SwqDmLtmXYiTMKHgktTP8We1SCoS47DrQ/edit?usp=sharing"",""จัดที่ดิน!W33"")"),222)</f>
        <v>222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IFERROR(__xludf.DUMMYFUNCTION("IMPORTRANGE(""https://docs.google.com/spreadsheets/d/1QqKyyYR6Q21VydFLVH3TRQUabQu_ym0Zz7PgGX0-kHA/edit?usp=sharing"",""แผน!EO33"")"),4500)</f>
        <v>4500</v>
      </c>
      <c r="J359" s="270">
        <f ca="1">IFERROR(__xludf.DUMMYFUNCTION("IMPORTRANGE(""https://docs.google.com/spreadsheets/d/1XWAQStnk-4SwqDmLtmXYiTMKHgktTP8We1SCoS47DrQ/edit?usp=sharing"",""จัดที่ดิน!X33"")"),2114.34)</f>
        <v>2114.34</v>
      </c>
      <c r="K359" s="497">
        <f t="shared" ca="1" si="161"/>
        <v>46.985333333333337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IFERROR(__xludf.DUMMYFUNCTION("IMPORTRANGE(""https://docs.google.com/spreadsheets/d/1QqKyyYR6Q21VydFLVH3TRQUabQu_ym0Zz7PgGX0-kHA/edit?usp=sharing"",""แผน!EP33"")"),450)</f>
        <v>450</v>
      </c>
      <c r="J360" s="270">
        <f ca="1">IFERROR(__xludf.DUMMYFUNCTION("IMPORTRANGE(""https://docs.google.com/spreadsheets/d/1XWAQStnk-4SwqDmLtmXYiTMKHgktTP8We1SCoS47DrQ/edit?usp=sharing"",""จัดที่ดิน!Y33"")"),194)</f>
        <v>194</v>
      </c>
      <c r="K360" s="497">
        <f t="shared" ca="1" si="161"/>
        <v>43.111111111111114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IFERROR(__xludf.DUMMYFUNCTION("IMPORTRANGE(""https://docs.google.com/spreadsheets/d/1XWAQStnk-4SwqDmLtmXYiTMKHgktTP8We1SCoS47DrQ/edit?usp=sharing"",""จัดที่ดิน!Z33"")"),1705.28)</f>
        <v>1705.28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IFERROR(__xludf.DUMMYFUNCTION("IMPORTRANGE(""https://docs.google.com/spreadsheets/d/1QqKyyYR6Q21VydFLVH3TRQUabQu_ym0Zz7PgGX0-kHA/edit?usp=sharing"",""แผน!EP33"")"),450)</f>
        <v>450</v>
      </c>
      <c r="J362" s="270">
        <f ca="1">IFERROR(__xludf.DUMMYFUNCTION("IMPORTRANGE(""https://docs.google.com/spreadsheets/d/1XWAQStnk-4SwqDmLtmXYiTMKHgktTP8We1SCoS47DrQ/edit?usp=sharing"",""จัดที่ดิน!AA33"")"),165)</f>
        <v>165</v>
      </c>
      <c r="K362" s="497">
        <f t="shared" ca="1" si="161"/>
        <v>36.666666666666664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IFERROR(__xludf.DUMMYFUNCTION("IMPORTRANGE(""https://docs.google.com/spreadsheets/d/1XWAQStnk-4SwqDmLtmXYiTMKHgktTP8We1SCoS47DrQ/edit?usp=sharing"",""จัดที่ดิน!AB33"")"),1400.02)</f>
        <v>1400.02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1200</v>
      </c>
      <c r="J364" s="478">
        <f t="shared" ca="1" si="162"/>
        <v>747</v>
      </c>
      <c r="K364" s="479">
        <f t="shared" ca="1" si="161"/>
        <v>62.25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IFERROR(__xludf.DUMMYFUNCTION("IMPORTRANGE(""https://docs.google.com/spreadsheets/d/1QqKyyYR6Q21VydFLVH3TRQUabQu_ym0Zz7PgGX0-kHA/edit?usp=sharing"",""แผน!EJ33"")"),100)</f>
        <v>100</v>
      </c>
      <c r="J365" s="490">
        <f ca="1">J372</f>
        <v>47</v>
      </c>
      <c r="K365" s="491">
        <f t="shared" ca="1" si="161"/>
        <v>47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IFERROR(__xludf.DUMMYFUNCTION("IMPORTRANGE(""https://docs.google.com/spreadsheets/d/1XWAQStnk-4SwqDmLtmXYiTMKHgktTP8We1SCoS47DrQ/edit?usp=sharing"",""จัดที่ดิน!E33"")"),104)</f>
        <v>104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IFERROR(__xludf.DUMMYFUNCTION("IMPORTRANGE(""https://docs.google.com/spreadsheets/d/1QqKyyYR6Q21VydFLVH3TRQUabQu_ym0Zz7PgGX0-kHA/edit?usp=sharing"",""แผน!EI33"")"),1000)</f>
        <v>1000</v>
      </c>
      <c r="J369" s="270">
        <f ca="1">IFERROR(__xludf.DUMMYFUNCTION("IMPORTRANGE(""https://docs.google.com/spreadsheets/d/1XWAQStnk-4SwqDmLtmXYiTMKHgktTP8We1SCoS47DrQ/edit?usp=sharing"",""จัดที่ดิน!F33"")"),1127.31)</f>
        <v>1127.31</v>
      </c>
      <c r="K369" s="497">
        <f t="shared" ca="1" si="163"/>
        <v>112.73099999999999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IFERROR(__xludf.DUMMYFUNCTION("IMPORTRANGE(""https://docs.google.com/spreadsheets/d/1QqKyyYR6Q21VydFLVH3TRQUabQu_ym0Zz7PgGX0-kHA/edit?usp=sharing"",""แผน!EJ33"")"),100)</f>
        <v>100</v>
      </c>
      <c r="J370" s="270">
        <f ca="1">IFERROR(__xludf.DUMMYFUNCTION("IMPORTRANGE(""https://docs.google.com/spreadsheets/d/1XWAQStnk-4SwqDmLtmXYiTMKHgktTP8We1SCoS47DrQ/edit?usp=sharing"",""จัดที่ดิน!G33"")"),76)</f>
        <v>76</v>
      </c>
      <c r="K370" s="497">
        <f t="shared" ca="1" si="163"/>
        <v>76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IFERROR(__xludf.DUMMYFUNCTION("IMPORTRANGE(""https://docs.google.com/spreadsheets/d/1XWAQStnk-4SwqDmLtmXYiTMKHgktTP8We1SCoS47DrQ/edit?usp=sharing"",""จัดที่ดิน!H33"")"),718.25)</f>
        <v>718.25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IFERROR(__xludf.DUMMYFUNCTION("IMPORTRANGE(""https://docs.google.com/spreadsheets/d/1QqKyyYR6Q21VydFLVH3TRQUabQu_ym0Zz7PgGX0-kHA/edit?usp=sharing"",""แผน!EJ33"")"),100)</f>
        <v>100</v>
      </c>
      <c r="J372" s="270">
        <f ca="1">IFERROR(__xludf.DUMMYFUNCTION("IMPORTRANGE(""https://docs.google.com/spreadsheets/d/1XWAQStnk-4SwqDmLtmXYiTMKHgktTP8We1SCoS47DrQ/edit?usp=sharing"",""จัดที่ดิน!I33"")"),47)</f>
        <v>47</v>
      </c>
      <c r="K372" s="497">
        <f t="shared" ca="1" si="163"/>
        <v>47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IFERROR(__xludf.DUMMYFUNCTION("IMPORTRANGE(""https://docs.google.com/spreadsheets/d/1XWAQStnk-4SwqDmLtmXYiTMKHgktTP8We1SCoS47DrQ/edit?usp=sharing"",""จัดที่ดิน!J33"")"),412.99)</f>
        <v>412.99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IFERROR(__xludf.DUMMYFUNCTION("IMPORTRANGE(""https://docs.google.com/spreadsheets/d/1QqKyyYR6Q21VydFLVH3TRQUabQu_ym0Zz7PgGX0-kHA/edit?usp=sharing"",""แผน!EU33"")"),1100)</f>
        <v>1100</v>
      </c>
      <c r="J374" s="490">
        <f ca="1">J381</f>
        <v>700</v>
      </c>
      <c r="K374" s="491">
        <f t="shared" ca="1" si="163"/>
        <v>63.636363636363633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IFERROR(__xludf.DUMMYFUNCTION("IMPORTRANGE(""https://docs.google.com/spreadsheets/d/1XWAQStnk-4SwqDmLtmXYiTMKHgktTP8We1SCoS47DrQ/edit?usp=sharing"",""จัดที่ดิน!AH33"")"),118)</f>
        <v>118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IFERROR(__xludf.DUMMYFUNCTION("IMPORTRANGE(""https://docs.google.com/spreadsheets/d/1QqKyyYR6Q21VydFLVH3TRQUabQu_ym0Zz7PgGX0-kHA/edit?usp=sharing"",""แผน!ET33"")"),3500)</f>
        <v>3500</v>
      </c>
      <c r="J378" s="270">
        <f ca="1">IFERROR(__xludf.DUMMYFUNCTION("IMPORTRANGE(""https://docs.google.com/spreadsheets/d/1XWAQStnk-4SwqDmLtmXYiTMKHgktTP8We1SCoS47DrQ/edit?usp=sharing"",""จัดที่ดิน!AI33"")"),987.03)</f>
        <v>987.03</v>
      </c>
      <c r="K378" s="497">
        <f t="shared" ca="1" si="164"/>
        <v>28.200857142857142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IFERROR(__xludf.DUMMYFUNCTION("IMPORTRANGE(""https://docs.google.com/spreadsheets/d/1QqKyyYR6Q21VydFLVH3TRQUabQu_ym0Zz7PgGX0-kHA/edit?usp=sharing"",""แผน!EU33"")"),1100)</f>
        <v>1100</v>
      </c>
      <c r="J379" s="270">
        <f ca="1">IFERROR(__xludf.DUMMYFUNCTION("IMPORTRANGE(""https://docs.google.com/spreadsheets/d/1XWAQStnk-4SwqDmLtmXYiTMKHgktTP8We1SCoS47DrQ/edit?usp=sharing"",""จัดที่ดิน!AJ33"")"),701)</f>
        <v>701</v>
      </c>
      <c r="K379" s="497">
        <f t="shared" ca="1" si="164"/>
        <v>63.727272727272727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IFERROR(__xludf.DUMMYFUNCTION("IMPORTRANGE(""https://docs.google.com/spreadsheets/d/1XWAQStnk-4SwqDmLtmXYiTMKHgktTP8We1SCoS47DrQ/edit?usp=sharing"",""จัดที่ดิน!AK33"")"),8372.35)</f>
        <v>8372.35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IFERROR(__xludf.DUMMYFUNCTION("IMPORTRANGE(""https://docs.google.com/spreadsheets/d/1QqKyyYR6Q21VydFLVH3TRQUabQu_ym0Zz7PgGX0-kHA/edit?usp=sharing"",""แผน!EU33"")"),1100)</f>
        <v>1100</v>
      </c>
      <c r="J381" s="270">
        <f ca="1">IFERROR(__xludf.DUMMYFUNCTION("IMPORTRANGE(""https://docs.google.com/spreadsheets/d/1XWAQStnk-4SwqDmLtmXYiTMKHgktTP8We1SCoS47DrQ/edit?usp=sharing"",""จัดที่ดิน!AL33"")"),700)</f>
        <v>700</v>
      </c>
      <c r="K381" s="497">
        <f t="shared" ca="1" si="164"/>
        <v>63.636363636363633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IFERROR(__xludf.DUMMYFUNCTION("IMPORTRANGE(""https://docs.google.com/spreadsheets/d/1XWAQStnk-4SwqDmLtmXYiTMKHgktTP8We1SCoS47DrQ/edit?usp=sharing"",""จัดที่ดิน!AM33"")"),8353.15)</f>
        <v>8353.15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IFERROR(__xludf.DUMMYFUNCTION("IMPORTRANGE(""https://docs.google.com/spreadsheets/d/1QqKyyYR6Q21VydFLVH3TRQUabQu_ym0Zz7PgGX0-kHA/edit?usp=sharing"",""แผน!EW33"")"),20)</f>
        <v>20</v>
      </c>
      <c r="J385" s="504">
        <f ca="1">IFERROR(__xludf.DUMMYFUNCTION("IMPORTRANGE(""https://docs.google.com/spreadsheets/d/1XWAQStnk-4SwqDmLtmXYiTMKHgktTP8We1SCoS47DrQ/edit?usp=sharing"",""จัดที่ดิน!AP33"")"),3)</f>
        <v>3</v>
      </c>
      <c r="K385" s="505">
        <f ca="1">IF(I385&gt;0,J385*100/I385,0)</f>
        <v>15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IFERROR(__xludf.DUMMYFUNCTION("IMPORTRANGE(""https://docs.google.com/spreadsheets/d/1MeEWN-I1oV_STSDYn1IFDPWt_1FKiwhDph83XaGc0o0/edit?usp=sharing"",""งบพรบ!FG33"")"),0)</f>
        <v>0</v>
      </c>
      <c r="M394" s="93">
        <f ca="1">IFERROR(__xludf.DUMMYFUNCTION("IMPORTRANGE(""https://docs.google.com/spreadsheets/d/1MeEWN-I1oV_STSDYn1IFDPWt_1FKiwhDph83XaGc0o0/edit?usp=sharing"",""งบพรบ!FL33"")"),0)</f>
        <v>0</v>
      </c>
      <c r="N394" s="93">
        <f ca="1">IFERROR(__xludf.DUMMYFUNCTION("IMPORTRANGE(""https://docs.google.com/spreadsheets/d/1MeEWN-I1oV_STSDYn1IFDPWt_1FKiwhDph83XaGc0o0/edit?usp=sharing"",""งบพรบ!FN33"")"),0)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IFERROR(__xludf.DUMMYFUNCTION("IMPORTRANGE(""https://docs.google.com/spreadsheets/d/1MeEWN-I1oV_STSDYn1IFDPWt_1FKiwhDph83XaGc0o0/edit?usp=sharing"",""งบพรบ!FJ33"")"),0)</f>
        <v>0</v>
      </c>
      <c r="M397" s="93">
        <f ca="1">IFERROR(__xludf.DUMMYFUNCTION("IMPORTRANGE(""https://docs.google.com/spreadsheets/d/1MeEWN-I1oV_STSDYn1IFDPWt_1FKiwhDph83XaGc0o0/edit?usp=sharing"",""งบพรบ!FM33"")"),0)</f>
        <v>0</v>
      </c>
      <c r="N397" s="93">
        <f ca="1">IFERROR(__xludf.DUMMYFUNCTION("IMPORTRANGE(""https://docs.google.com/spreadsheets/d/1MeEWN-I1oV_STSDYn1IFDPWt_1FKiwhDph83XaGc0o0/edit?usp=sharing"",""งบพรบ!FO33"")"),0)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IFERROR(__xludf.DUMMYFUNCTION("IMPORTRANGE(""https://docs.google.com/spreadsheets/d/1MeEWN-I1oV_STSDYn1IFDPWt_1FKiwhDph83XaGc0o0/edit?usp=sharing"",""งบพรบ!FQ33"")"),0)</f>
        <v>0</v>
      </c>
      <c r="M407" s="93">
        <f ca="1">IFERROR(__xludf.DUMMYFUNCTION("IMPORTRANGE(""https://docs.google.com/spreadsheets/d/1MeEWN-I1oV_STSDYn1IFDPWt_1FKiwhDph83XaGc0o0/edit?usp=sharing"",""งบพรบ!FV33"")"),0)</f>
        <v>0</v>
      </c>
      <c r="N407" s="93">
        <f ca="1">IFERROR(__xludf.DUMMYFUNCTION("IMPORTRANGE(""https://docs.google.com/spreadsheets/d/1MeEWN-I1oV_STSDYn1IFDPWt_1FKiwhDph83XaGc0o0/edit?usp=sharing"",""งบพรบ!FX33"")"),0)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IFERROR(__xludf.DUMMYFUNCTION("IMPORTRANGE(""https://docs.google.com/spreadsheets/d/1MeEWN-I1oV_STSDYn1IFDPWt_1FKiwhDph83XaGc0o0/edit?usp=sharing"",""งบพรบ!FT33"")"),0)</f>
        <v>0</v>
      </c>
      <c r="M410" s="93">
        <f ca="1">IFERROR(__xludf.DUMMYFUNCTION("IMPORTRANGE(""https://docs.google.com/spreadsheets/d/1MeEWN-I1oV_STSDYn1IFDPWt_1FKiwhDph83XaGc0o0/edit?usp=sharing"",""งบพรบ!FW33"")"),0)</f>
        <v>0</v>
      </c>
      <c r="N410" s="93">
        <f ca="1">IFERROR(__xludf.DUMMYFUNCTION("IMPORTRANGE(""https://docs.google.com/spreadsheets/d/1MeEWN-I1oV_STSDYn1IFDPWt_1FKiwhDph83XaGc0o0/edit?usp=sharing"",""งบพรบ!FY33"")"),0)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1659511</v>
      </c>
      <c r="M414" s="552">
        <f t="shared" ca="1" si="181"/>
        <v>1659511</v>
      </c>
      <c r="N414" s="552">
        <f t="shared" si="181"/>
        <v>554704.19999999995</v>
      </c>
      <c r="O414" s="552">
        <f ca="1">IF(L414&gt;0,N414*100/L414,0)</f>
        <v>33.425762167289037</v>
      </c>
      <c r="P414" s="552">
        <f ca="1">IF(M414&gt;0,N414*100/M414,0)</f>
        <v>33.425762167289037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57070</v>
      </c>
      <c r="O419" s="155">
        <f t="shared" ref="O419:O424" ca="1" si="185">IF(L419&gt;0,N419*100/L419,0)</f>
        <v>72.552758708365118</v>
      </c>
      <c r="P419" s="155">
        <f t="shared" ref="P419:P424" ca="1" si="186">IF(M419&gt;0,N419*100/M419,0)</f>
        <v>72.552758708365118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57070</v>
      </c>
      <c r="O421" s="93">
        <f t="shared" ca="1" si="185"/>
        <v>72.552758708365118</v>
      </c>
      <c r="P421" s="93">
        <f t="shared" ca="1" si="186"/>
        <v>72.552758708365118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57070</v>
      </c>
      <c r="O422" s="497">
        <f t="shared" ca="1" si="185"/>
        <v>72.552758708365118</v>
      </c>
      <c r="P422" s="497">
        <f t="shared" ca="1" si="186"/>
        <v>72.552758708365118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IFERROR(__xludf.DUMMYFUNCTION("IMPORTRANGE(""https://docs.google.com/spreadsheets/d/1QqKyyYR6Q21VydFLVH3TRQUabQu_ym0Zz7PgGX0-kHA/edit?usp=sharing"",""แผน!EY33"")"),78660)</f>
        <v>78660</v>
      </c>
      <c r="M424" s="93">
        <f ca="1">L424</f>
        <v>78660</v>
      </c>
      <c r="N424" s="93">
        <f>N425+N426+N427+N428</f>
        <v>57070</v>
      </c>
      <c r="O424" s="93">
        <f t="shared" ca="1" si="185"/>
        <v>72.552758708365118</v>
      </c>
      <c r="P424" s="93">
        <f t="shared" ca="1" si="186"/>
        <v>72.552758708365118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33510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23560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95</v>
      </c>
      <c r="J443" s="568">
        <f t="shared" si="196"/>
        <v>95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374350</v>
      </c>
      <c r="M444" s="195">
        <f t="shared" ca="1" si="197"/>
        <v>374350</v>
      </c>
      <c r="N444" s="195">
        <f t="shared" si="197"/>
        <v>131437.49</v>
      </c>
      <c r="O444" s="195">
        <f t="shared" ref="O444:O449" ca="1" si="198">IF(L444&gt;0,N444*100/L444,0)</f>
        <v>35.110856150661149</v>
      </c>
      <c r="P444" s="195">
        <f t="shared" ref="P444:P449" ca="1" si="199">IF(M444&gt;0,N444*100/M444,0)</f>
        <v>35.110856150661149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374350</v>
      </c>
      <c r="M446" s="93">
        <f t="shared" ca="1" si="200"/>
        <v>374350</v>
      </c>
      <c r="N446" s="93">
        <f t="shared" si="200"/>
        <v>131437.49</v>
      </c>
      <c r="O446" s="93">
        <f t="shared" ca="1" si="198"/>
        <v>35.110856150661149</v>
      </c>
      <c r="P446" s="93">
        <f t="shared" ca="1" si="199"/>
        <v>35.110856150661149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374350</v>
      </c>
      <c r="M447" s="497">
        <f t="shared" ca="1" si="201"/>
        <v>374350</v>
      </c>
      <c r="N447" s="497">
        <f t="shared" si="201"/>
        <v>131437.49</v>
      </c>
      <c r="O447" s="497">
        <f t="shared" ca="1" si="198"/>
        <v>35.110856150661149</v>
      </c>
      <c r="P447" s="497">
        <f t="shared" ca="1" si="199"/>
        <v>35.110856150661149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IFERROR(__xludf.DUMMYFUNCTION("IMPORTRANGE(""https://docs.google.com/spreadsheets/d/1QqKyyYR6Q21VydFLVH3TRQUabQu_ym0Zz7PgGX0-kHA/edit?usp=sharing"",""แผน!FJ33"")"),374350)</f>
        <v>374350</v>
      </c>
      <c r="M449" s="93">
        <f ca="1">L449</f>
        <v>374350</v>
      </c>
      <c r="N449" s="93">
        <f>N450+N451+N452+N453</f>
        <v>131437.49</v>
      </c>
      <c r="O449" s="93">
        <f t="shared" ca="1" si="198"/>
        <v>35.110856150661149</v>
      </c>
      <c r="P449" s="93">
        <f t="shared" ca="1" si="199"/>
        <v>35.110856150661149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30450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61437.49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39550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IFERROR(__xludf.DUMMYFUNCTION("IMPORTRANGE(""https://docs.google.com/spreadsheets/d/1QqKyyYR6Q21VydFLVH3TRQUabQu_ym0Zz7PgGX0-kHA/edit?usp=sharing"",""แผน!FN33"")"),55)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IFERROR(__xludf.DUMMYFUNCTION("IMPORTRANGE(""https://docs.google.com/spreadsheets/d/1QqKyyYR6Q21VydFLVH3TRQUabQu_ym0Zz7PgGX0-kHA/edit?usp=sharing"",""แผน!FO33"")"),95)</f>
        <v>95</v>
      </c>
      <c r="J462" s="215">
        <v>95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IFERROR(__xludf.DUMMYFUNCTION("IMPORTRANGE(""https://docs.google.com/spreadsheets/d/1QqKyyYR6Q21VydFLVH3TRQUabQu_ym0Zz7PgGX0-kHA/edit?usp=sharing"",""แผน!FO33"")"),95)</f>
        <v>95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IFERROR(__xludf.DUMMYFUNCTION("IMPORTRANGE(""https://docs.google.com/spreadsheets/d/1QqKyyYR6Q21VydFLVH3TRQUabQu_ym0Zz7PgGX0-kHA/edit?usp=sharing"",""แผน!FN33"")"),55)</f>
        <v>55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IFERROR(__xludf.DUMMYFUNCTION("IMPORTRANGE(""https://docs.google.com/spreadsheets/d/1QqKyyYR6Q21VydFLVH3TRQUabQu_ym0Zz7PgGX0-kHA/edit?usp=sharing"",""แผน!FX33"")"),61)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IFERROR(__xludf.DUMMYFUNCTION("IMPORTRANGE(""https://docs.google.com/spreadsheets/d/1QqKyyYR6Q21VydFLVH3TRQUabQu_ym0Zz7PgGX0-kHA/edit?usp=sharing"",""แผน!FW33"")"),600)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489753</v>
      </c>
      <c r="M467" s="195">
        <f t="shared" ca="1" si="206"/>
        <v>489753</v>
      </c>
      <c r="N467" s="195">
        <f t="shared" si="206"/>
        <v>83260</v>
      </c>
      <c r="O467" s="195">
        <f t="shared" ref="O467:O472" ca="1" si="207">IF(L467&gt;0,N467*100/L467,0)</f>
        <v>17.000406327271094</v>
      </c>
      <c r="P467" s="195">
        <f t="shared" ref="P467:P472" ca="1" si="208">IF(M467&gt;0,N467*100/M467,0)</f>
        <v>17.000406327271094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489753</v>
      </c>
      <c r="M469" s="93">
        <f t="shared" ca="1" si="209"/>
        <v>489753</v>
      </c>
      <c r="N469" s="93">
        <f t="shared" si="209"/>
        <v>83260</v>
      </c>
      <c r="O469" s="93">
        <f t="shared" ca="1" si="207"/>
        <v>17.000406327271094</v>
      </c>
      <c r="P469" s="93">
        <f t="shared" ca="1" si="208"/>
        <v>17.000406327271094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489753</v>
      </c>
      <c r="M470" s="497">
        <f t="shared" ca="1" si="210"/>
        <v>489753</v>
      </c>
      <c r="N470" s="497">
        <f t="shared" si="210"/>
        <v>83260</v>
      </c>
      <c r="O470" s="497">
        <f t="shared" ca="1" si="207"/>
        <v>17.000406327271094</v>
      </c>
      <c r="P470" s="497">
        <f t="shared" ca="1" si="208"/>
        <v>17.000406327271094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IFERROR(__xludf.DUMMYFUNCTION("IMPORTRANGE(""https://docs.google.com/spreadsheets/d/1QqKyyYR6Q21VydFLVH3TRQUabQu_ym0Zz7PgGX0-kHA/edit?usp=sharing"",""แผน!FS33"")"),489753)</f>
        <v>489753</v>
      </c>
      <c r="M472" s="93">
        <f ca="1">L472</f>
        <v>489753</v>
      </c>
      <c r="N472" s="93">
        <f>N473+N474+N475+N476</f>
        <v>83260</v>
      </c>
      <c r="O472" s="93">
        <f t="shared" ca="1" si="207"/>
        <v>17.000406327271094</v>
      </c>
      <c r="P472" s="93">
        <f t="shared" ca="1" si="208"/>
        <v>17.000406327271094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64180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19080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IFERROR(__xludf.DUMMYFUNCTION("IMPORTRANGE(""https://docs.google.com/spreadsheets/d/1QqKyyYR6Q21VydFLVH3TRQUabQu_ym0Zz7PgGX0-kHA/edit?usp=sharing"",""แผน!FY33"")"),540)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IFERROR(__xludf.DUMMYFUNCTION("IMPORTRANGE(""https://docs.google.com/spreadsheets/d/1QqKyyYR6Q21VydFLVH3TRQUabQu_ym0Zz7PgGX0-kHA/edit?usp=sharing"",""แผน!FZ33"")"),54)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IFERROR(__xludf.DUMMYFUNCTION("IMPORTRANGE(""https://docs.google.com/spreadsheets/d/1QqKyyYR6Q21VydFLVH3TRQUabQu_ym0Zz7PgGX0-kHA/edit?usp=sharing"",""แผน!GA33"")"),60)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IFERROR(__xludf.DUMMYFUNCTION("IMPORTRANGE(""https://docs.google.com/spreadsheets/d/1QqKyyYR6Q21VydFLVH3TRQUabQu_ym0Zz7PgGX0-kHA/edit?usp=sharing"",""แผน!GB33"")"),6)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IFERROR(__xludf.DUMMYFUNCTION("IMPORTRANGE(""https://docs.google.com/spreadsheets/d/1QqKyyYR6Q21VydFLVH3TRQUabQu_ym0Zz7PgGX0-kHA/edit?usp=sharing"",""แผน!FY33"")"),540)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IFERROR(__xludf.DUMMYFUNCTION("IMPORTRANGE(""https://docs.google.com/spreadsheets/d/1QqKyyYR6Q21VydFLVH3TRQUabQu_ym0Zz7PgGX0-kHA/edit?usp=sharing"",""แผน!GA33"")"),60)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73574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477343</v>
      </c>
      <c r="M544" s="155">
        <f t="shared" ca="1" si="236"/>
        <v>477343</v>
      </c>
      <c r="N544" s="155">
        <f t="shared" si="236"/>
        <v>281015.71000000002</v>
      </c>
      <c r="O544" s="155">
        <f t="shared" ref="O544:O549" ca="1" si="237">IF(L544&gt;0,N544*100/L544,0)</f>
        <v>58.870814068709507</v>
      </c>
      <c r="P544" s="155">
        <f t="shared" ref="P544:P549" ca="1" si="238">IF(M544&gt;0,N544*100/M544,0)</f>
        <v>58.870814068709507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477343</v>
      </c>
      <c r="M546" s="93">
        <f t="shared" ca="1" si="240"/>
        <v>477343</v>
      </c>
      <c r="N546" s="93">
        <f t="shared" si="240"/>
        <v>281015.71000000002</v>
      </c>
      <c r="O546" s="93">
        <f t="shared" ca="1" si="237"/>
        <v>58.870814068709507</v>
      </c>
      <c r="P546" s="93">
        <f t="shared" ca="1" si="238"/>
        <v>58.870814068709507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477343</v>
      </c>
      <c r="M547" s="497">
        <f t="shared" ca="1" si="241"/>
        <v>477343</v>
      </c>
      <c r="N547" s="497">
        <f t="shared" si="241"/>
        <v>281015.71000000002</v>
      </c>
      <c r="O547" s="497">
        <f t="shared" ca="1" si="237"/>
        <v>58.870814068709507</v>
      </c>
      <c r="P547" s="497">
        <f t="shared" ca="1" si="238"/>
        <v>58.870814068709507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IFERROR(__xludf.DUMMYFUNCTION("IMPORTRANGE(""https://docs.google.com/spreadsheets/d/1QqKyyYR6Q21VydFLVH3TRQUabQu_ym0Zz7PgGX0-kHA/edit?usp=sharing"",""แผน!HB33"")"),477343)</f>
        <v>477343</v>
      </c>
      <c r="M549" s="93">
        <f ca="1">L549</f>
        <v>477343</v>
      </c>
      <c r="N549" s="93">
        <f>N550+N551+N552+N553+N554</f>
        <v>281015.71000000002</v>
      </c>
      <c r="O549" s="93">
        <f t="shared" ca="1" si="237"/>
        <v>58.870814068709507</v>
      </c>
      <c r="P549" s="93">
        <f t="shared" ca="1" si="238"/>
        <v>58.870814068709507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64535.71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216480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73574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IFERROR(__xludf.DUMMYFUNCTION("IMPORTRANGE(""https://docs.google.com/spreadsheets/d/1QqKyyYR6Q21VydFLVH3TRQUabQu_ym0Zz7PgGX0-kHA/edit?usp=sharing"",""แผน!HH33"")"),73574)</f>
        <v>73574</v>
      </c>
      <c r="J560" s="193">
        <f t="shared" ref="J560:J561" si="247">J562+J564+J566</f>
        <v>73574.36</v>
      </c>
      <c r="K560" s="411">
        <f t="shared" ca="1" si="246"/>
        <v>100.00048930328649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IFERROR(__xludf.DUMMYFUNCTION("IMPORTRANGE(""https://docs.google.com/spreadsheets/d/1QqKyyYR6Q21VydFLVH3TRQUabQu_ym0Zz7PgGX0-kHA/edit?usp=sharing"",""แผน!HG33"")"),7333)</f>
        <v>7333</v>
      </c>
      <c r="J561" s="193">
        <f t="shared" si="247"/>
        <v>7333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62059.56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6309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7370.39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664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4144.41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360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IFERROR(__xludf.DUMMYFUNCTION("IMPORTRANGE(""https://docs.google.com/spreadsheets/d/1QqKyyYR6Q21VydFLVH3TRQUabQu_ym0Zz7PgGX0-kHA/edit?usp=sharing"",""แผน!HH33"")"),73574)</f>
        <v>73574</v>
      </c>
      <c r="J568" s="679">
        <f t="shared" ref="J568:J569" si="248">J570+J572+J574</f>
        <v>73574.399999999994</v>
      </c>
      <c r="K568" s="411">
        <f t="shared" ref="K568:K569" ca="1" si="249">IF(I568&gt;0,J568*100/I568,0)</f>
        <v>100.00054367031831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IFERROR(__xludf.DUMMYFUNCTION("IMPORTRANGE(""https://docs.google.com/spreadsheets/d/1QqKyyYR6Q21VydFLVH3TRQUabQu_ym0Zz7PgGX0-kHA/edit?usp=sharing"",""แผน!HG33"")"),7333)</f>
        <v>7333</v>
      </c>
      <c r="J569" s="679">
        <f t="shared" si="248"/>
        <v>7333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66803.48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6726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2327.4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4443.5200000000004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IFERROR(__xludf.DUMMYFUNCTION("IMPORTRANGE(""https://docs.google.com/spreadsheets/d/1QqKyyYR6Q21VydFLVH3TRQUabQu_ym0Zz7PgGX0-kHA/edit?usp=sharing"",""แผน!HH33"")"),73574)</f>
        <v>73574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IFERROR(__xludf.DUMMYFUNCTION("IMPORTRANGE(""https://docs.google.com/spreadsheets/d/1QqKyyYR6Q21VydFLVH3TRQUabQu_ym0Zz7PgGX0-kHA/edit?usp=sharing"",""แผน!HG33"")"),7333)</f>
        <v>7333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1346.1</v>
      </c>
      <c r="J592" s="706">
        <f t="shared" si="253"/>
        <v>359</v>
      </c>
      <c r="K592" s="675">
        <f t="shared" ref="K592:K594" ca="1" si="254">IF(I592&gt;0,J592*100/I592,0)</f>
        <v>26.669638214099994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IFERROR(__xludf.DUMMYFUNCTION("IMPORTRANGE(""https://docs.google.com/spreadsheets/d/1QqKyyYR6Q21VydFLVH3TRQUabQu_ym0Zz7PgGX0-kHA/edit?usp=sharing"",""แผน!HJ33"")"),1346.1)</f>
        <v>1346.1</v>
      </c>
      <c r="J593" s="193">
        <f t="shared" ref="J593:J594" si="255">J595+J603+J609</f>
        <v>359</v>
      </c>
      <c r="K593" s="411">
        <f t="shared" ca="1" si="254"/>
        <v>26.669638214099994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IFERROR(__xludf.DUMMYFUNCTION("IMPORTRANGE(""https://docs.google.com/spreadsheets/d/1QqKyyYR6Q21VydFLVH3TRQUabQu_ym0Zz7PgGX0-kHA/edit?usp=sharing"",""แผน!HI33"")"),146)</f>
        <v>146</v>
      </c>
      <c r="J594" s="193">
        <f t="shared" si="255"/>
        <v>42</v>
      </c>
      <c r="K594" s="411">
        <f t="shared" ca="1" si="254"/>
        <v>28.767123287671232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359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42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359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IFERROR(__xludf.DUMMYFUNCTION("IMPORTRANGE(""https://docs.google.com/spreadsheets/d/1QqKyyYR6Q21VydFLVH3TRQUabQu_ym0Zz7PgGX0-kHA/edit?usp=sharing"",""แผน!HL33"")"),71)</f>
        <v>71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IFERROR(__xludf.DUMMYFUNCTION("IMPORTRANGE(""https://docs.google.com/spreadsheets/d/1QqKyyYR6Q21VydFLVH3TRQUabQu_ym0Zz7PgGX0-kHA/edit?usp=sharing"",""แผน!HK33"")"),3)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50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237485</v>
      </c>
      <c r="M629" s="195">
        <f t="shared" ca="1" si="263"/>
        <v>237485</v>
      </c>
      <c r="N629" s="195">
        <f t="shared" si="263"/>
        <v>1921</v>
      </c>
      <c r="O629" s="195">
        <f t="shared" ref="O629:O634" ca="1" si="264">IF(L629&gt;0,N629*100/L629,0)</f>
        <v>0.80889319325431075</v>
      </c>
      <c r="P629" s="195">
        <f t="shared" ref="P629:P634" ca="1" si="265">IF(M629&gt;0,N629*100/M629,0)</f>
        <v>0.80889319325431075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237485</v>
      </c>
      <c r="M631" s="93">
        <f t="shared" ca="1" si="266"/>
        <v>237485</v>
      </c>
      <c r="N631" s="93">
        <f t="shared" si="266"/>
        <v>1921</v>
      </c>
      <c r="O631" s="93">
        <f t="shared" ca="1" si="264"/>
        <v>0.80889319325431075</v>
      </c>
      <c r="P631" s="93">
        <f t="shared" ca="1" si="265"/>
        <v>0.80889319325431075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237485</v>
      </c>
      <c r="M632" s="497">
        <f t="shared" ca="1" si="267"/>
        <v>237485</v>
      </c>
      <c r="N632" s="497">
        <f t="shared" si="267"/>
        <v>1921</v>
      </c>
      <c r="O632" s="497">
        <f t="shared" ca="1" si="264"/>
        <v>0.80889319325431075</v>
      </c>
      <c r="P632" s="497">
        <f t="shared" ca="1" si="265"/>
        <v>0.80889319325431075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IFERROR(__xludf.DUMMYFUNCTION("IMPORTRANGE(""https://docs.google.com/spreadsheets/d/1QqKyyYR6Q21VydFLVH3TRQUabQu_ym0Zz7PgGX0-kHA/edit?usp=sharing"",""แผน!HN33"")"),237485)</f>
        <v>237485</v>
      </c>
      <c r="M634" s="93">
        <f ca="1">L634</f>
        <v>237485</v>
      </c>
      <c r="N634" s="93">
        <f>N635+N636+N637+N638</f>
        <v>1921</v>
      </c>
      <c r="O634" s="93">
        <f t="shared" ca="1" si="264"/>
        <v>0.80889319325431075</v>
      </c>
      <c r="P634" s="93">
        <f t="shared" ca="1" si="265"/>
        <v>0.80889319325431075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1921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IFERROR(__xludf.DUMMYFUNCTION("IMPORTRANGE(""https://docs.google.com/spreadsheets/d/1QqKyyYR6Q21VydFLVH3TRQUabQu_ym0Zz7PgGX0-kHA/edit?usp=sharing"",""แผน!HS33"")"),50)</f>
        <v>50</v>
      </c>
      <c r="J647" s="270">
        <f ca="1">IFERROR(__xludf.DUMMYFUNCTION("IMPORTRANGE(""https://docs.google.com/spreadsheets/d/1XWAQStnk-4SwqDmLtmXYiTMKHgktTP8We1SCoS47DrQ/edit?usp=sharing"",""จัดที่ดิน!AU33"")"),0)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IFERROR(__xludf.DUMMYFUNCTION("IMPORTRANGE(""https://docs.google.com/spreadsheets/d/1QqKyyYR6Q21VydFLVH3TRQUabQu_ym0Zz7PgGX0-kHA/edit?usp=sharing"",""แผน!HS33"")"),50)</f>
        <v>50</v>
      </c>
      <c r="J649" s="270">
        <f ca="1">IFERROR(__xludf.DUMMYFUNCTION("IMPORTRANGE(""https://docs.google.com/spreadsheets/d/1XWAQStnk-4SwqDmLtmXYiTMKHgktTP8We1SCoS47DrQ/edit?usp=sharing"",""จัดที่ดิน!AW33"")"),0)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IFERROR(__xludf.DUMMYFUNCTION("IMPORTRANGE(""https://docs.google.com/spreadsheets/d/1QqKyyYR6Q21VydFLVH3TRQUabQu_ym0Zz7PgGX0-kHA/edit?usp=sharing"",""แผน!HS33"")"),50)</f>
        <v>50</v>
      </c>
      <c r="J651" s="270">
        <f ca="1">IFERROR(__xludf.DUMMYFUNCTION("IMPORTRANGE(""https://docs.google.com/spreadsheets/d/1XWAQStnk-4SwqDmLtmXYiTMKHgktTP8We1SCoS47DrQ/edit?usp=sharing"",""จัดที่ดิน!AY33"")"),0)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IFERROR(__xludf.DUMMYFUNCTION("IMPORTRANGE(""https://docs.google.com/spreadsheets/d/1XWAQStnk-4SwqDmLtmXYiTMKHgktTP8We1SCoS47DrQ/edit?usp=sharing"",""จัดที่ดิน!AZ33"")"),0)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IFERROR(__xludf.DUMMYFUNCTION("IMPORTRANGE(""https://docs.google.com/spreadsheets/d/1QqKyyYR6Q21VydFLVH3TRQUabQu_ym0Zz7PgGX0-kHA/edit?usp=sharing"",""แผน!IA33"")"),0)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IFERROR(__xludf.DUMMYFUNCTION("IMPORTRANGE(""https://docs.google.com/spreadsheets/d/1QqKyyYR6Q21VydFLVH3TRQUabQu_ym0Zz7PgGX0-kHA/edit?usp=sharing"",""แผน!HZ33"")"),0)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IFERROR(__xludf.DUMMYFUNCTION("IMPORTRANGE(""https://docs.google.com/spreadsheets/d/1QqKyyYR6Q21VydFLVH3TRQUabQu_ym0Zz7PgGX0-kHA/edit?usp=sharing"",""แผน!HZ33"")"),0)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1920</v>
      </c>
      <c r="M685" s="195">
        <f t="shared" ca="1" si="282"/>
        <v>1920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1920</v>
      </c>
      <c r="M687" s="93">
        <f t="shared" ca="1" si="285"/>
        <v>1920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1920</v>
      </c>
      <c r="M688" s="497">
        <f t="shared" ca="1" si="286"/>
        <v>1920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IFERROR(__xludf.DUMMYFUNCTION("IMPORTRANGE(""https://docs.google.com/spreadsheets/d/1QqKyyYR6Q21VydFLVH3TRQUabQu_ym0Zz7PgGX0-kHA/edit?usp=sharing"",""แผน!HW33"")"),1920)</f>
        <v>1920</v>
      </c>
      <c r="M690" s="93">
        <f ca="1">L690</f>
        <v>1920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IFERROR(__xludf.DUMMYFUNCTION("IMPORTRANGE(""https://docs.google.com/spreadsheets/d/1QqKyyYR6Q21VydFLVH3TRQUabQu_ym0Zz7PgGX0-kHA/edit?usp=sharing"",""แผน!IC33"")"),0)</f>
        <v>0</v>
      </c>
      <c r="J699" s="270">
        <f ca="1">IFERROR(__xludf.DUMMYFUNCTION("IMPORTRANGE(""https://docs.google.com/spreadsheets/d/1XWAQStnk-4SwqDmLtmXYiTMKHgktTP8We1SCoS47DrQ/edit?usp=sharing"",""จัดที่ดิน!BB33"")"),0)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IFERROR(__xludf.DUMMYFUNCTION("IMPORTRANGE(""https://docs.google.com/spreadsheets/d/1QqKyyYR6Q21VydFLVH3TRQUabQu_ym0Zz7PgGX0-kHA/edit?usp=sharing"",""แผน!ID33"")"),0)</f>
        <v>0</v>
      </c>
      <c r="J700" s="270">
        <f ca="1">IFERROR(__xludf.DUMMYFUNCTION("IMPORTRANGE(""https://docs.google.com/spreadsheets/d/1XWAQStnk-4SwqDmLtmXYiTMKHgktTP8We1SCoS47DrQ/edit?usp=sharing"",""จัดที่ดิน!BD33"")"),0)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IFERROR(__xludf.DUMMYFUNCTION("IMPORTRANGE(""https://docs.google.com/spreadsheets/d/1QqKyyYR6Q21VydFLVH3TRQUabQu_ym0Zz7PgGX0-kHA/edit?usp=sharing"",""แผน!IE33"")"),10)</f>
        <v>10</v>
      </c>
      <c r="J701" s="679">
        <f>J704+J707</f>
        <v>10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1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IFERROR(__xludf.DUMMYFUNCTION("IMPORTRANGE(""https://docs.google.com/spreadsheets/d/1QqKyyYR6Q21VydFLVH3TRQUabQu_ym0Zz7PgGX0-kHA/edit?usp=sharing"",""แผน!IF33"")"),10)</f>
        <v>10</v>
      </c>
      <c r="J704" s="215">
        <v>10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IFERROR(__xludf.DUMMYFUNCTION("IMPORTRANGE(""https://docs.google.com/spreadsheets/d/1QqKyyYR6Q21VydFLVH3TRQUabQu_ym0Zz7PgGX0-kHA/edit?usp=sharing"",""แผน!IH33"")"),0)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IFERROR(__xludf.DUMMYFUNCTION("IMPORTRANGE(""https://docs.google.com/spreadsheets/d/1QqKyyYR6Q21VydFLVH3TRQUabQu_ym0Zz7PgGX0-kHA/edit?usp=sharing"",""แผน!II33"")"),0)</f>
        <v>0</v>
      </c>
      <c r="J720" s="270">
        <f ca="1">IFERROR(__xludf.DUMMYFUNCTION("IMPORTRANGE(""https://docs.google.com/spreadsheets/d/1XWAQStnk-4SwqDmLtmXYiTMKHgktTP8We1SCoS47DrQ/edit?usp=sharing"",""จัดที่ดิน!BH33"")"),0)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IFERROR(__xludf.DUMMYFUNCTION("IMPORTRANGE(""https://docs.google.com/spreadsheets/d/1QqKyyYR6Q21VydFLVH3TRQUabQu_ym0Zz7PgGX0-kHA/edit?usp=sharing"",""แผน!IJ33"")"),6)</f>
        <v>6</v>
      </c>
      <c r="J721" s="679">
        <f ca="1">J723+J726</f>
        <v>1</v>
      </c>
      <c r="K721" s="195">
        <f t="shared" ca="1" si="291"/>
        <v>16.666666666666668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IFERROR(__xludf.DUMMYFUNCTION("IMPORTRANGE(""https://docs.google.com/spreadsheets/d/1QqKyyYR6Q21VydFLVH3TRQUabQu_ym0Zz7PgGX0-kHA/edit?usp=sharing"",""แผน!IK33"")"),62)</f>
        <v>62</v>
      </c>
      <c r="J722" s="679">
        <f ca="1">J725+J728</f>
        <v>10</v>
      </c>
      <c r="K722" s="195">
        <f t="shared" ca="1" si="291"/>
        <v>16.129032258064516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IFERROR(__xludf.DUMMYFUNCTION("IMPORTRANGE(""https://docs.google.com/spreadsheets/d/1QqKyyYR6Q21VydFLVH3TRQUabQu_ym0Zz7PgGX0-kHA/edit?usp=sharing"",""แผน!IL33"")"),6)</f>
        <v>6</v>
      </c>
      <c r="J723" s="270">
        <f ca="1">IFERROR(__xludf.DUMMYFUNCTION("IMPORTRANGE(""https://docs.google.com/spreadsheets/d/1XWAQStnk-4SwqDmLtmXYiTMKHgktTP8We1SCoS47DrQ/edit?usp=sharing"",""จัดที่ดิน!BM33"")"),1)</f>
        <v>1</v>
      </c>
      <c r="K723" s="497">
        <f t="shared" ca="1" si="291"/>
        <v>16.666666666666668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IFERROR(__xludf.DUMMYFUNCTION("IMPORTRANGE(""https://docs.google.com/spreadsheets/d/1XWAQStnk-4SwqDmLtmXYiTMKHgktTP8We1SCoS47DrQ/edit?usp=sharing"",""จัดที่ดิน!BN33"")"),2)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IFERROR(__xludf.DUMMYFUNCTION("IMPORTRANGE(""https://docs.google.com/spreadsheets/d/1QqKyyYR6Q21VydFLVH3TRQUabQu_ym0Zz7PgGX0-kHA/edit?usp=sharing"",""แผน!IM33"")"),62)</f>
        <v>62</v>
      </c>
      <c r="J725" s="270">
        <f ca="1">IFERROR(__xludf.DUMMYFUNCTION("IMPORTRANGE(""https://docs.google.com/spreadsheets/d/1XWAQStnk-4SwqDmLtmXYiTMKHgktTP8We1SCoS47DrQ/edit?usp=sharing"",""จัดที่ดิน!BO33"")"),10)</f>
        <v>10</v>
      </c>
      <c r="K725" s="497">
        <f t="shared" ref="K725:K726" ca="1" si="292">IF(I725&gt;0,J725*100/I725,0)</f>
        <v>16.129032258064516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IFERROR(__xludf.DUMMYFUNCTION("IMPORTRANGE(""https://docs.google.com/spreadsheets/d/1QqKyyYR6Q21VydFLVH3TRQUabQu_ym0Zz7PgGX0-kHA/edit?usp=sharing"",""แผน!IN33"")"),0)</f>
        <v>0</v>
      </c>
      <c r="J726" s="270">
        <f ca="1">IFERROR(__xludf.DUMMYFUNCTION("IMPORTRANGE(""https://docs.google.com/spreadsheets/d/1XWAQStnk-4SwqDmLtmXYiTMKHgktTP8We1SCoS47DrQ/edit?usp=sharing"",""จัดที่ดิน!BR33"")"),0)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IFERROR(__xludf.DUMMYFUNCTION("IMPORTRANGE(""https://docs.google.com/spreadsheets/d/1QqKyyYR6Q21VydFLVH3TRQUabQu_ym0Zz7PgGX0-kHA/edit?usp=sharing"",""แผน!IO33"")"),0)</f>
        <v>0</v>
      </c>
      <c r="J728" s="270">
        <f ca="1">IFERROR(__xludf.DUMMYFUNCTION("IMPORTRANGE(""https://docs.google.com/spreadsheets/d/1XWAQStnk-4SwqDmLtmXYiTMKHgktTP8We1SCoS47DrQ/edit?usp=sharing"",""จัดที่ดิน!BT33"")"),0)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IFERROR(__xludf.DUMMYFUNCTION("IMPORTRANGE(""https://docs.google.com/spreadsheets/d/1QqKyyYR6Q21VydFLVH3TRQUabQu_ym0Zz7PgGX0-kHA/edit?usp=sharing"",""แผน!JN33"")"),0)</f>
        <v>0</v>
      </c>
      <c r="J800" s="184">
        <f ca="1">IFERROR(__xludf.DUMMYFUNCTION("IMPORTRANGE(""https://docs.google.com/spreadsheets/d/1MaWodYyGHDf7siQLGxnXhG4mBNTNIuy296niS2xXulU/edit?usp=sharing"",""RTK!H33"")"),0)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IFERROR(__xludf.DUMMYFUNCTION("IMPORTRANGE(""https://docs.google.com/spreadsheets/d/1MaWodYyGHDf7siQLGxnXhG4mBNTNIuy296niS2xXulU/edit?usp=sharing"",""RTK!I33"")"),0)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270">
        <f ca="1">IFERROR(__xludf.DUMMYFUNCTION("IMPORTRANGE(""https://docs.google.com/spreadsheets/d/19vJNZY_5yjcGF2XGBMNZRCAIB0Kwfpjp8YEOfu-bneM/edit?usp=sharing"",""งานกองทุน!F33"")"),2070586.26)</f>
        <v>2070586.26</v>
      </c>
      <c r="K821" s="497">
        <f t="shared" ref="K821:K828" ca="1" si="335">IF(I821&gt;0,J821*100/I821,0)</f>
        <v>47.084028409680727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IFERROR(__xludf.DUMMYFUNCTION("IMPORTRANGE(""https://docs.google.com/spreadsheets/d/19vJNZY_5yjcGF2XGBMNZRCAIB0Kwfpjp8YEOfu-bneM/edit?usp=sharing"",""งานกองทุน!C33"")"),275)</f>
        <v>275</v>
      </c>
      <c r="J822" s="270">
        <f ca="1">IFERROR(__xludf.DUMMYFUNCTION("IMPORTRANGE(""https://docs.google.com/spreadsheets/d/19vJNZY_5yjcGF2XGBMNZRCAIB0Kwfpjp8YEOfu-bneM/edit?usp=sharing"",""งานกองทุน!E33"")"),135)</f>
        <v>135</v>
      </c>
      <c r="K822" s="497">
        <f t="shared" ca="1" si="335"/>
        <v>49.090909090909093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270">
        <f ca="1">IFERROR(__xludf.DUMMYFUNCTION("IMPORTRANGE(""https://docs.google.com/spreadsheets/d/19vJNZY_5yjcGF2XGBMNZRCAIB0Kwfpjp8YEOfu-bneM/edit?usp=sharing"",""งานกองทุน!K33"")"),1264690.53)</f>
        <v>1264690.53</v>
      </c>
      <c r="K823" s="497">
        <f t="shared" ca="1" si="335"/>
        <v>9.2353257809807445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IFERROR(__xludf.DUMMYFUNCTION("IMPORTRANGE(""https://docs.google.com/spreadsheets/d/19vJNZY_5yjcGF2XGBMNZRCAIB0Kwfpjp8YEOfu-bneM/edit?usp=sharing"",""งานกองทุน!H33"")"),529)</f>
        <v>529</v>
      </c>
      <c r="J824" s="270">
        <f ca="1">IFERROR(__xludf.DUMMYFUNCTION("IMPORTRANGE(""https://docs.google.com/spreadsheets/d/19vJNZY_5yjcGF2XGBMNZRCAIB0Kwfpjp8YEOfu-bneM/edit?usp=sharing"",""งานกองทุน!J33"")"),141)</f>
        <v>141</v>
      </c>
      <c r="K824" s="497">
        <f t="shared" ca="1" si="335"/>
        <v>26.65406427221172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270">
        <f ca="1">IFERROR(__xludf.DUMMYFUNCTION("IMPORTRANGE(""https://docs.google.com/spreadsheets/d/19vJNZY_5yjcGF2XGBMNZRCAIB0Kwfpjp8YEOfu-bneM/edit?usp=sharing"",""งานกองทุน!P33"")"),184272.17)</f>
        <v>184272.17</v>
      </c>
      <c r="K825" s="497">
        <f t="shared" ca="1" si="335"/>
        <v>45.050165544634858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IFERROR(__xludf.DUMMYFUNCTION("IMPORTRANGE(""https://docs.google.com/spreadsheets/d/19vJNZY_5yjcGF2XGBMNZRCAIB0Kwfpjp8YEOfu-bneM/edit?usp=sharing"",""งานกองทุน!M33"")"),59)</f>
        <v>59</v>
      </c>
      <c r="J826" s="270">
        <f ca="1">IFERROR(__xludf.DUMMYFUNCTION("IMPORTRANGE(""https://docs.google.com/spreadsheets/d/19vJNZY_5yjcGF2XGBMNZRCAIB0Kwfpjp8YEOfu-bneM/edit?usp=sharing"",""งานกองทุน!O33"")"),57)</f>
        <v>57</v>
      </c>
      <c r="K826" s="497">
        <f t="shared" ca="1" si="335"/>
        <v>96.610169491525426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IFERROR(__xludf.DUMMYFUNCTION("IMPORTRANGE(""https://docs.google.com/spreadsheets/d/19vJNZY_5yjcGF2XGBMNZRCAIB0Kwfpjp8YEOfu-bneM/edit?usp=sharing"",""งานกองทุน!S33"")"),5080000)</f>
        <v>5080000</v>
      </c>
      <c r="J827" s="270">
        <f ca="1">IFERROR(__xludf.DUMMYFUNCTION("IMPORTRANGE(""https://docs.google.com/spreadsheets/d/19vJNZY_5yjcGF2XGBMNZRCAIB0Kwfpjp8YEOfu-bneM/edit?usp=sharing"",""งานกองทุน!U33"")"),5080000)</f>
        <v>5080000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IFERROR(__xludf.DUMMYFUNCTION("IMPORTRANGE(""https://docs.google.com/spreadsheets/d/19vJNZY_5yjcGF2XGBMNZRCAIB0Kwfpjp8YEOfu-bneM/edit?usp=sharing"",""งานกองทุน!R33"")"),203)</f>
        <v>203</v>
      </c>
      <c r="J828" s="504">
        <f ca="1">IFERROR(__xludf.DUMMYFUNCTION("IMPORTRANGE(""https://docs.google.com/spreadsheets/d/19vJNZY_5yjcGF2XGBMNZRCAIB0Kwfpjp8YEOfu-bneM/edit?usp=sharing"",""งานกองทุน!T33"")"),113)</f>
        <v>113</v>
      </c>
      <c r="K828" s="505">
        <f t="shared" ca="1" si="335"/>
        <v>55.665024630541872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  <row r="829" spans="1:26" ht="18.75">
      <c r="A829" s="680"/>
      <c r="B829" s="680"/>
      <c r="C829" s="680"/>
      <c r="D829" s="910"/>
      <c r="E829" s="680"/>
      <c r="F829" s="680"/>
      <c r="G829" s="680"/>
      <c r="H829" s="911"/>
      <c r="I829" s="912"/>
      <c r="J829" s="912"/>
      <c r="K829" s="913"/>
      <c r="L829" s="913"/>
      <c r="M829" s="913"/>
      <c r="N829" s="913"/>
      <c r="O829" s="913"/>
      <c r="P829" s="913"/>
      <c r="Q829" s="576"/>
      <c r="R829" s="576"/>
      <c r="S829" s="576"/>
      <c r="T829" s="576"/>
      <c r="U829" s="576"/>
      <c r="V829" s="576"/>
      <c r="W829" s="576"/>
      <c r="X829" s="576"/>
      <c r="Y829" s="576"/>
      <c r="Z829" s="576"/>
    </row>
    <row r="830" spans="1:26" ht="18.75">
      <c r="A830" s="680"/>
      <c r="B830" s="680"/>
      <c r="C830" s="680"/>
      <c r="D830" s="910"/>
      <c r="E830" s="680"/>
      <c r="F830" s="680"/>
      <c r="G830" s="680"/>
      <c r="H830" s="911"/>
      <c r="I830" s="912"/>
      <c r="J830" s="912"/>
      <c r="K830" s="913"/>
      <c r="L830" s="913"/>
      <c r="M830" s="913"/>
      <c r="N830" s="913"/>
      <c r="O830" s="913"/>
      <c r="P830" s="913"/>
      <c r="Q830" s="576"/>
      <c r="R830" s="576"/>
      <c r="S830" s="576"/>
      <c r="T830" s="576"/>
      <c r="U830" s="576"/>
      <c r="V830" s="576"/>
      <c r="W830" s="576"/>
      <c r="X830" s="576"/>
      <c r="Y830" s="576"/>
      <c r="Z830" s="576"/>
    </row>
    <row r="831" spans="1:26" ht="18.75">
      <c r="A831" s="680"/>
      <c r="B831" s="680"/>
      <c r="C831" s="680"/>
      <c r="D831" s="910"/>
      <c r="E831" s="680"/>
      <c r="F831" s="680"/>
      <c r="G831" s="680"/>
      <c r="H831" s="911"/>
      <c r="I831" s="912"/>
      <c r="J831" s="912"/>
      <c r="K831" s="913"/>
      <c r="L831" s="913"/>
      <c r="M831" s="913"/>
      <c r="N831" s="913"/>
      <c r="O831" s="913"/>
      <c r="P831" s="913"/>
      <c r="Q831" s="576"/>
      <c r="R831" s="576"/>
      <c r="S831" s="576"/>
      <c r="T831" s="576"/>
      <c r="U831" s="576"/>
      <c r="V831" s="576"/>
      <c r="W831" s="576"/>
      <c r="X831" s="576"/>
      <c r="Y831" s="576"/>
      <c r="Z831" s="576"/>
    </row>
    <row r="832" spans="1:26" ht="18.75">
      <c r="A832" s="680"/>
      <c r="B832" s="680"/>
      <c r="C832" s="680"/>
      <c r="D832" s="910"/>
      <c r="E832" s="680"/>
      <c r="F832" s="680"/>
      <c r="G832" s="680"/>
      <c r="H832" s="911"/>
      <c r="I832" s="912"/>
      <c r="J832" s="912"/>
      <c r="K832" s="913"/>
      <c r="L832" s="913"/>
      <c r="M832" s="913"/>
      <c r="N832" s="913"/>
      <c r="O832" s="913"/>
      <c r="P832" s="913"/>
      <c r="Q832" s="576"/>
      <c r="R832" s="576"/>
      <c r="S832" s="576"/>
      <c r="T832" s="576"/>
      <c r="U832" s="576"/>
      <c r="V832" s="576"/>
      <c r="W832" s="576"/>
      <c r="X832" s="576"/>
      <c r="Y832" s="576"/>
      <c r="Z832" s="576"/>
    </row>
    <row r="833" spans="1:26" ht="18.75">
      <c r="A833" s="680"/>
      <c r="B833" s="680"/>
      <c r="C833" s="680"/>
      <c r="D833" s="910"/>
      <c r="E833" s="680"/>
      <c r="F833" s="680"/>
      <c r="G833" s="680"/>
      <c r="H833" s="911"/>
      <c r="I833" s="912"/>
      <c r="J833" s="912"/>
      <c r="K833" s="913"/>
      <c r="L833" s="913"/>
      <c r="M833" s="913"/>
      <c r="N833" s="913"/>
      <c r="O833" s="913"/>
      <c r="P833" s="913"/>
      <c r="Q833" s="576"/>
      <c r="R833" s="576"/>
      <c r="S833" s="576"/>
      <c r="T833" s="576"/>
      <c r="U833" s="576"/>
      <c r="V833" s="576"/>
      <c r="W833" s="576"/>
      <c r="X833" s="576"/>
      <c r="Y833" s="576"/>
      <c r="Z833" s="576"/>
    </row>
    <row r="834" spans="1:26" ht="18.75">
      <c r="A834" s="680"/>
      <c r="B834" s="680"/>
      <c r="C834" s="680"/>
      <c r="D834" s="910"/>
      <c r="E834" s="680"/>
      <c r="F834" s="680"/>
      <c r="G834" s="680"/>
      <c r="H834" s="911"/>
      <c r="I834" s="912"/>
      <c r="J834" s="912"/>
      <c r="K834" s="913"/>
      <c r="L834" s="913"/>
      <c r="M834" s="913"/>
      <c r="N834" s="913"/>
      <c r="O834" s="913"/>
      <c r="P834" s="913"/>
      <c r="Q834" s="576"/>
      <c r="R834" s="576"/>
      <c r="S834" s="576"/>
      <c r="T834" s="576"/>
      <c r="U834" s="576"/>
      <c r="V834" s="576"/>
      <c r="W834" s="576"/>
      <c r="X834" s="576"/>
      <c r="Y834" s="576"/>
      <c r="Z834" s="576"/>
    </row>
    <row r="835" spans="1:26" ht="18.75">
      <c r="A835" s="680"/>
      <c r="B835" s="680"/>
      <c r="C835" s="680"/>
      <c r="D835" s="910"/>
      <c r="E835" s="680"/>
      <c r="F835" s="680"/>
      <c r="G835" s="680"/>
      <c r="H835" s="911"/>
      <c r="I835" s="912"/>
      <c r="J835" s="912"/>
      <c r="K835" s="913"/>
      <c r="L835" s="913"/>
      <c r="M835" s="913"/>
      <c r="N835" s="913"/>
      <c r="O835" s="913"/>
      <c r="P835" s="913"/>
      <c r="Q835" s="576"/>
      <c r="R835" s="576"/>
      <c r="S835" s="576"/>
      <c r="T835" s="576"/>
      <c r="U835" s="576"/>
      <c r="V835" s="576"/>
      <c r="W835" s="576"/>
      <c r="X835" s="576"/>
      <c r="Y835" s="576"/>
      <c r="Z835" s="576"/>
    </row>
    <row r="836" spans="1:26" ht="18.75">
      <c r="A836" s="680"/>
      <c r="B836" s="680"/>
      <c r="C836" s="680"/>
      <c r="D836" s="910"/>
      <c r="E836" s="680"/>
      <c r="F836" s="680"/>
      <c r="G836" s="680"/>
      <c r="H836" s="911"/>
      <c r="I836" s="912"/>
      <c r="J836" s="912"/>
      <c r="K836" s="913"/>
      <c r="L836" s="913"/>
      <c r="M836" s="913"/>
      <c r="N836" s="913"/>
      <c r="O836" s="913"/>
      <c r="P836" s="913"/>
      <c r="Q836" s="576"/>
      <c r="R836" s="576"/>
      <c r="S836" s="576"/>
      <c r="T836" s="576"/>
      <c r="U836" s="576"/>
      <c r="V836" s="576"/>
      <c r="W836" s="576"/>
      <c r="X836" s="576"/>
      <c r="Y836" s="576"/>
      <c r="Z836" s="576"/>
    </row>
    <row r="837" spans="1:26" ht="18.75">
      <c r="A837" s="680"/>
      <c r="B837" s="680"/>
      <c r="C837" s="680"/>
      <c r="D837" s="910"/>
      <c r="E837" s="680"/>
      <c r="F837" s="680"/>
      <c r="G837" s="680"/>
      <c r="H837" s="911"/>
      <c r="I837" s="912"/>
      <c r="J837" s="912"/>
      <c r="K837" s="913"/>
      <c r="L837" s="913"/>
      <c r="M837" s="913"/>
      <c r="N837" s="913"/>
      <c r="O837" s="913"/>
      <c r="P837" s="913"/>
      <c r="Q837" s="576"/>
      <c r="R837" s="576"/>
      <c r="S837" s="576"/>
      <c r="T837" s="576"/>
      <c r="U837" s="576"/>
      <c r="V837" s="576"/>
      <c r="W837" s="576"/>
      <c r="X837" s="576"/>
      <c r="Y837" s="576"/>
      <c r="Z837" s="576"/>
    </row>
    <row r="838" spans="1:26" ht="18.75">
      <c r="A838" s="680"/>
      <c r="B838" s="680"/>
      <c r="C838" s="680"/>
      <c r="D838" s="910"/>
      <c r="E838" s="680"/>
      <c r="F838" s="680"/>
      <c r="G838" s="680"/>
      <c r="H838" s="911"/>
      <c r="I838" s="912"/>
      <c r="J838" s="912"/>
      <c r="K838" s="913"/>
      <c r="L838" s="913"/>
      <c r="M838" s="913"/>
      <c r="N838" s="913"/>
      <c r="O838" s="913"/>
      <c r="P838" s="913"/>
      <c r="Q838" s="576"/>
      <c r="R838" s="576"/>
      <c r="S838" s="576"/>
      <c r="T838" s="576"/>
      <c r="U838" s="576"/>
      <c r="V838" s="576"/>
      <c r="W838" s="576"/>
      <c r="X838" s="576"/>
      <c r="Y838" s="576"/>
      <c r="Z838" s="576"/>
    </row>
    <row r="839" spans="1:26" ht="18.75">
      <c r="A839" s="680"/>
      <c r="B839" s="680"/>
      <c r="C839" s="680"/>
      <c r="D839" s="910"/>
      <c r="E839" s="680"/>
      <c r="F839" s="680"/>
      <c r="G839" s="680"/>
      <c r="H839" s="911"/>
      <c r="I839" s="912"/>
      <c r="J839" s="912"/>
      <c r="K839" s="913"/>
      <c r="L839" s="913"/>
      <c r="M839" s="913"/>
      <c r="N839" s="913"/>
      <c r="O839" s="913"/>
      <c r="P839" s="913"/>
      <c r="Q839" s="576"/>
      <c r="R839" s="576"/>
      <c r="S839" s="576"/>
      <c r="T839" s="576"/>
      <c r="U839" s="576"/>
      <c r="V839" s="576"/>
      <c r="W839" s="576"/>
      <c r="X839" s="576"/>
      <c r="Y839" s="576"/>
      <c r="Z839" s="576"/>
    </row>
    <row r="840" spans="1:26" ht="18.75">
      <c r="A840" s="680"/>
      <c r="B840" s="680"/>
      <c r="C840" s="680"/>
      <c r="D840" s="910"/>
      <c r="E840" s="680"/>
      <c r="F840" s="680"/>
      <c r="G840" s="680"/>
      <c r="H840" s="911"/>
      <c r="I840" s="912"/>
      <c r="J840" s="912"/>
      <c r="K840" s="913"/>
      <c r="L840" s="913"/>
      <c r="M840" s="913"/>
      <c r="N840" s="913"/>
      <c r="O840" s="913"/>
      <c r="P840" s="913"/>
      <c r="Q840" s="576"/>
      <c r="R840" s="576"/>
      <c r="S840" s="576"/>
      <c r="T840" s="576"/>
      <c r="U840" s="576"/>
      <c r="V840" s="576"/>
      <c r="W840" s="576"/>
      <c r="X840" s="576"/>
      <c r="Y840" s="576"/>
      <c r="Z840" s="576"/>
    </row>
    <row r="841" spans="1:26" ht="18.75">
      <c r="A841" s="680"/>
      <c r="B841" s="680"/>
      <c r="C841" s="680"/>
      <c r="D841" s="910"/>
      <c r="E841" s="680"/>
      <c r="F841" s="680"/>
      <c r="G841" s="680"/>
      <c r="H841" s="911"/>
      <c r="I841" s="912"/>
      <c r="J841" s="912"/>
      <c r="K841" s="913"/>
      <c r="L841" s="913"/>
      <c r="M841" s="913"/>
      <c r="N841" s="913"/>
      <c r="O841" s="913"/>
      <c r="P841" s="913"/>
      <c r="Q841" s="576"/>
      <c r="R841" s="576"/>
      <c r="S841" s="576"/>
      <c r="T841" s="576"/>
      <c r="U841" s="576"/>
      <c r="V841" s="576"/>
      <c r="W841" s="576"/>
      <c r="X841" s="576"/>
      <c r="Y841" s="576"/>
      <c r="Z841" s="576"/>
    </row>
    <row r="842" spans="1:26" ht="18.75">
      <c r="A842" s="680"/>
      <c r="B842" s="680"/>
      <c r="C842" s="680"/>
      <c r="D842" s="910"/>
      <c r="E842" s="680"/>
      <c r="F842" s="680"/>
      <c r="G842" s="680"/>
      <c r="H842" s="911"/>
      <c r="I842" s="912"/>
      <c r="J842" s="912"/>
      <c r="K842" s="913"/>
      <c r="L842" s="913"/>
      <c r="M842" s="913"/>
      <c r="N842" s="913"/>
      <c r="O842" s="913"/>
      <c r="P842" s="913"/>
      <c r="Q842" s="576"/>
      <c r="R842" s="576"/>
      <c r="S842" s="576"/>
      <c r="T842" s="576"/>
      <c r="U842" s="576"/>
      <c r="V842" s="576"/>
      <c r="W842" s="576"/>
      <c r="X842" s="576"/>
      <c r="Y842" s="576"/>
      <c r="Z842" s="576"/>
    </row>
    <row r="843" spans="1:26" ht="18.75">
      <c r="A843" s="680"/>
      <c r="B843" s="680"/>
      <c r="C843" s="680"/>
      <c r="D843" s="910"/>
      <c r="E843" s="680"/>
      <c r="F843" s="680"/>
      <c r="G843" s="680"/>
      <c r="H843" s="911"/>
      <c r="I843" s="912"/>
      <c r="J843" s="912"/>
      <c r="K843" s="913"/>
      <c r="L843" s="913"/>
      <c r="M843" s="913"/>
      <c r="N843" s="913"/>
      <c r="O843" s="913"/>
      <c r="P843" s="913"/>
      <c r="Q843" s="576"/>
      <c r="R843" s="576"/>
      <c r="S843" s="576"/>
      <c r="T843" s="576"/>
      <c r="U843" s="576"/>
      <c r="V843" s="576"/>
      <c r="W843" s="576"/>
      <c r="X843" s="576"/>
      <c r="Y843" s="576"/>
      <c r="Z843" s="576"/>
    </row>
    <row r="844" spans="1:26" ht="18.75">
      <c r="A844" s="680"/>
      <c r="B844" s="680"/>
      <c r="C844" s="680"/>
      <c r="D844" s="910"/>
      <c r="E844" s="680"/>
      <c r="F844" s="680"/>
      <c r="G844" s="680"/>
      <c r="H844" s="911"/>
      <c r="I844" s="912"/>
      <c r="J844" s="912"/>
      <c r="K844" s="913"/>
      <c r="L844" s="913"/>
      <c r="M844" s="913"/>
      <c r="N844" s="913"/>
      <c r="O844" s="913"/>
      <c r="P844" s="913"/>
      <c r="Q844" s="576"/>
      <c r="R844" s="576"/>
      <c r="S844" s="576"/>
      <c r="T844" s="576"/>
      <c r="U844" s="576"/>
      <c r="V844" s="576"/>
      <c r="W844" s="576"/>
      <c r="X844" s="576"/>
      <c r="Y844" s="576"/>
      <c r="Z844" s="576"/>
    </row>
    <row r="845" spans="1:26" ht="18.75">
      <c r="A845" s="680"/>
      <c r="B845" s="680"/>
      <c r="C845" s="680"/>
      <c r="D845" s="910"/>
      <c r="E845" s="680"/>
      <c r="F845" s="680"/>
      <c r="G845" s="680"/>
      <c r="H845" s="911"/>
      <c r="I845" s="912"/>
      <c r="J845" s="912"/>
      <c r="K845" s="913"/>
      <c r="L845" s="913"/>
      <c r="M845" s="913"/>
      <c r="N845" s="913"/>
      <c r="O845" s="913"/>
      <c r="P845" s="913"/>
      <c r="Q845" s="576"/>
      <c r="R845" s="576"/>
      <c r="S845" s="576"/>
      <c r="T845" s="576"/>
      <c r="U845" s="576"/>
      <c r="V845" s="576"/>
      <c r="W845" s="576"/>
      <c r="X845" s="576"/>
      <c r="Y845" s="576"/>
      <c r="Z845" s="576"/>
    </row>
    <row r="846" spans="1:26" ht="18.75">
      <c r="A846" s="680"/>
      <c r="B846" s="680"/>
      <c r="C846" s="680"/>
      <c r="D846" s="910"/>
      <c r="E846" s="680"/>
      <c r="F846" s="680"/>
      <c r="G846" s="680"/>
      <c r="H846" s="911"/>
      <c r="I846" s="912"/>
      <c r="J846" s="912"/>
      <c r="K846" s="913"/>
      <c r="L846" s="913"/>
      <c r="M846" s="913"/>
      <c r="N846" s="913"/>
      <c r="O846" s="913"/>
      <c r="P846" s="913"/>
      <c r="Q846" s="576"/>
      <c r="R846" s="576"/>
      <c r="S846" s="576"/>
      <c r="T846" s="576"/>
      <c r="U846" s="576"/>
      <c r="V846" s="576"/>
      <c r="W846" s="576"/>
      <c r="X846" s="576"/>
      <c r="Y846" s="576"/>
      <c r="Z846" s="576"/>
    </row>
    <row r="847" spans="1:26" ht="18.75">
      <c r="A847" s="680"/>
      <c r="B847" s="680"/>
      <c r="C847" s="680"/>
      <c r="D847" s="910"/>
      <c r="E847" s="680"/>
      <c r="F847" s="680"/>
      <c r="G847" s="680"/>
      <c r="H847" s="911"/>
      <c r="I847" s="912"/>
      <c r="J847" s="912"/>
      <c r="K847" s="913"/>
      <c r="L847" s="913"/>
      <c r="M847" s="913"/>
      <c r="N847" s="913"/>
      <c r="O847" s="913"/>
      <c r="P847" s="913"/>
      <c r="Q847" s="576"/>
      <c r="R847" s="576"/>
      <c r="S847" s="576"/>
      <c r="T847" s="576"/>
      <c r="U847" s="576"/>
      <c r="V847" s="576"/>
      <c r="W847" s="576"/>
      <c r="X847" s="576"/>
      <c r="Y847" s="576"/>
      <c r="Z847" s="576"/>
    </row>
    <row r="848" spans="1:26" ht="18.75">
      <c r="A848" s="680"/>
      <c r="B848" s="680"/>
      <c r="C848" s="680"/>
      <c r="D848" s="910"/>
      <c r="E848" s="680"/>
      <c r="F848" s="680"/>
      <c r="G848" s="680"/>
      <c r="H848" s="911"/>
      <c r="I848" s="912"/>
      <c r="J848" s="912"/>
      <c r="K848" s="913"/>
      <c r="L848" s="913"/>
      <c r="M848" s="913"/>
      <c r="N848" s="913"/>
      <c r="O848" s="913"/>
      <c r="P848" s="913"/>
      <c r="Q848" s="576"/>
      <c r="R848" s="576"/>
      <c r="S848" s="576"/>
      <c r="T848" s="576"/>
      <c r="U848" s="576"/>
      <c r="V848" s="576"/>
      <c r="W848" s="576"/>
      <c r="X848" s="576"/>
      <c r="Y848" s="576"/>
      <c r="Z848" s="576"/>
    </row>
    <row r="849" spans="1:26" ht="18.75">
      <c r="A849" s="680"/>
      <c r="B849" s="680"/>
      <c r="C849" s="680"/>
      <c r="D849" s="910"/>
      <c r="E849" s="680"/>
      <c r="F849" s="680"/>
      <c r="G849" s="680"/>
      <c r="H849" s="911"/>
      <c r="I849" s="912"/>
      <c r="J849" s="912"/>
      <c r="K849" s="913"/>
      <c r="L849" s="913"/>
      <c r="M849" s="913"/>
      <c r="N849" s="913"/>
      <c r="O849" s="913"/>
      <c r="P849" s="913"/>
      <c r="Q849" s="576"/>
      <c r="R849" s="576"/>
      <c r="S849" s="576"/>
      <c r="T849" s="576"/>
      <c r="U849" s="576"/>
      <c r="V849" s="576"/>
      <c r="W849" s="576"/>
      <c r="X849" s="576"/>
      <c r="Y849" s="576"/>
      <c r="Z849" s="576"/>
    </row>
    <row r="850" spans="1:26" ht="18.75">
      <c r="A850" s="680"/>
      <c r="B850" s="680"/>
      <c r="C850" s="680"/>
      <c r="D850" s="910"/>
      <c r="E850" s="680"/>
      <c r="F850" s="680"/>
      <c r="G850" s="680"/>
      <c r="H850" s="911"/>
      <c r="I850" s="912"/>
      <c r="J850" s="912"/>
      <c r="K850" s="913"/>
      <c r="L850" s="913"/>
      <c r="M850" s="913"/>
      <c r="N850" s="913"/>
      <c r="O850" s="913"/>
      <c r="P850" s="913"/>
      <c r="Q850" s="576"/>
      <c r="R850" s="576"/>
      <c r="S850" s="576"/>
      <c r="T850" s="576"/>
      <c r="U850" s="576"/>
      <c r="V850" s="576"/>
      <c r="W850" s="576"/>
      <c r="X850" s="576"/>
      <c r="Y850" s="576"/>
      <c r="Z850" s="576"/>
    </row>
    <row r="851" spans="1:26" ht="18.75">
      <c r="A851" s="680"/>
      <c r="B851" s="680"/>
      <c r="C851" s="680"/>
      <c r="D851" s="910"/>
      <c r="E851" s="680"/>
      <c r="F851" s="680"/>
      <c r="G851" s="680"/>
      <c r="H851" s="911"/>
      <c r="I851" s="912"/>
      <c r="J851" s="912"/>
      <c r="K851" s="913"/>
      <c r="L851" s="913"/>
      <c r="M851" s="913"/>
      <c r="N851" s="913"/>
      <c r="O851" s="913"/>
      <c r="P851" s="913"/>
      <c r="Q851" s="576"/>
      <c r="R851" s="576"/>
      <c r="S851" s="576"/>
      <c r="T851" s="576"/>
      <c r="U851" s="576"/>
      <c r="V851" s="576"/>
      <c r="W851" s="576"/>
      <c r="X851" s="576"/>
      <c r="Y851" s="576"/>
      <c r="Z851" s="576"/>
    </row>
    <row r="852" spans="1:26" ht="18.75">
      <c r="A852" s="680"/>
      <c r="B852" s="680"/>
      <c r="C852" s="680"/>
      <c r="D852" s="910"/>
      <c r="E852" s="680"/>
      <c r="F852" s="680"/>
      <c r="G852" s="680"/>
      <c r="H852" s="911"/>
      <c r="I852" s="912"/>
      <c r="J852" s="912"/>
      <c r="K852" s="913"/>
      <c r="L852" s="913"/>
      <c r="M852" s="913"/>
      <c r="N852" s="913"/>
      <c r="O852" s="913"/>
      <c r="P852" s="913"/>
      <c r="Q852" s="576"/>
      <c r="R852" s="576"/>
      <c r="S852" s="576"/>
      <c r="T852" s="576"/>
      <c r="U852" s="576"/>
      <c r="V852" s="576"/>
      <c r="W852" s="576"/>
      <c r="X852" s="576"/>
      <c r="Y852" s="576"/>
      <c r="Z852" s="576"/>
    </row>
    <row r="853" spans="1:26" ht="18.75">
      <c r="A853" s="680"/>
      <c r="B853" s="680"/>
      <c r="C853" s="680"/>
      <c r="D853" s="910"/>
      <c r="E853" s="680"/>
      <c r="F853" s="680"/>
      <c r="G853" s="680"/>
      <c r="H853" s="911"/>
      <c r="I853" s="912"/>
      <c r="J853" s="912"/>
      <c r="K853" s="913"/>
      <c r="L853" s="913"/>
      <c r="M853" s="913"/>
      <c r="N853" s="913"/>
      <c r="O853" s="913"/>
      <c r="P853" s="913"/>
      <c r="Q853" s="576"/>
      <c r="R853" s="576"/>
      <c r="S853" s="576"/>
      <c r="T853" s="576"/>
      <c r="U853" s="576"/>
      <c r="V853" s="576"/>
      <c r="W853" s="576"/>
      <c r="X853" s="576"/>
      <c r="Y853" s="576"/>
      <c r="Z853" s="576"/>
    </row>
    <row r="854" spans="1:26" ht="18.75">
      <c r="A854" s="680"/>
      <c r="B854" s="680"/>
      <c r="C854" s="680"/>
      <c r="D854" s="910"/>
      <c r="E854" s="680"/>
      <c r="F854" s="680"/>
      <c r="G854" s="680"/>
      <c r="H854" s="911"/>
      <c r="I854" s="912"/>
      <c r="J854" s="912"/>
      <c r="K854" s="913"/>
      <c r="L854" s="913"/>
      <c r="M854" s="913"/>
      <c r="N854" s="913"/>
      <c r="O854" s="913"/>
      <c r="P854" s="913"/>
      <c r="Q854" s="576"/>
      <c r="R854" s="576"/>
      <c r="S854" s="576"/>
      <c r="T854" s="576"/>
      <c r="U854" s="576"/>
      <c r="V854" s="576"/>
      <c r="W854" s="576"/>
      <c r="X854" s="576"/>
      <c r="Y854" s="576"/>
      <c r="Z854" s="576"/>
    </row>
    <row r="855" spans="1:26" ht="18.75">
      <c r="A855" s="680"/>
      <c r="B855" s="680"/>
      <c r="C855" s="680"/>
      <c r="D855" s="910"/>
      <c r="E855" s="680"/>
      <c r="F855" s="680"/>
      <c r="G855" s="680"/>
      <c r="H855" s="911"/>
      <c r="I855" s="912"/>
      <c r="J855" s="912"/>
      <c r="K855" s="913"/>
      <c r="L855" s="913"/>
      <c r="M855" s="913"/>
      <c r="N855" s="913"/>
      <c r="O855" s="913"/>
      <c r="P855" s="913"/>
      <c r="Q855" s="576"/>
      <c r="R855" s="576"/>
      <c r="S855" s="576"/>
      <c r="T855" s="576"/>
      <c r="U855" s="576"/>
      <c r="V855" s="576"/>
      <c r="W855" s="576"/>
      <c r="X855" s="576"/>
      <c r="Y855" s="576"/>
      <c r="Z855" s="576"/>
    </row>
    <row r="856" spans="1:26" ht="18.75">
      <c r="A856" s="680"/>
      <c r="B856" s="680"/>
      <c r="C856" s="680"/>
      <c r="D856" s="910"/>
      <c r="E856" s="680"/>
      <c r="F856" s="680"/>
      <c r="G856" s="680"/>
      <c r="H856" s="911"/>
      <c r="I856" s="912"/>
      <c r="J856" s="912"/>
      <c r="K856" s="913"/>
      <c r="L856" s="913"/>
      <c r="M856" s="913"/>
      <c r="N856" s="913"/>
      <c r="O856" s="913"/>
      <c r="P856" s="913"/>
      <c r="Q856" s="576"/>
      <c r="R856" s="576"/>
      <c r="S856" s="576"/>
      <c r="T856" s="576"/>
      <c r="U856" s="576"/>
      <c r="V856" s="576"/>
      <c r="W856" s="576"/>
      <c r="X856" s="576"/>
      <c r="Y856" s="576"/>
      <c r="Z856" s="576"/>
    </row>
    <row r="857" spans="1:26" ht="18.75">
      <c r="A857" s="680"/>
      <c r="B857" s="680"/>
      <c r="C857" s="680"/>
      <c r="D857" s="910"/>
      <c r="E857" s="680"/>
      <c r="F857" s="680"/>
      <c r="G857" s="680"/>
      <c r="H857" s="911"/>
      <c r="I857" s="912"/>
      <c r="J857" s="912"/>
      <c r="K857" s="913"/>
      <c r="L857" s="913"/>
      <c r="M857" s="913"/>
      <c r="N857" s="913"/>
      <c r="O857" s="913"/>
      <c r="P857" s="913"/>
      <c r="Q857" s="576"/>
      <c r="R857" s="576"/>
      <c r="S857" s="576"/>
      <c r="T857" s="576"/>
      <c r="U857" s="576"/>
      <c r="V857" s="576"/>
      <c r="W857" s="576"/>
      <c r="X857" s="576"/>
      <c r="Y857" s="576"/>
      <c r="Z857" s="576"/>
    </row>
    <row r="858" spans="1:26" ht="18.75">
      <c r="A858" s="680"/>
      <c r="B858" s="680"/>
      <c r="C858" s="680"/>
      <c r="D858" s="910"/>
      <c r="E858" s="680"/>
      <c r="F858" s="680"/>
      <c r="G858" s="680"/>
      <c r="H858" s="911"/>
      <c r="I858" s="912"/>
      <c r="J858" s="912"/>
      <c r="K858" s="913"/>
      <c r="L858" s="913"/>
      <c r="M858" s="913"/>
      <c r="N858" s="913"/>
      <c r="O858" s="913"/>
      <c r="P858" s="913"/>
      <c r="Q858" s="576"/>
      <c r="R858" s="576"/>
      <c r="S858" s="576"/>
      <c r="T858" s="576"/>
      <c r="U858" s="576"/>
      <c r="V858" s="576"/>
      <c r="W858" s="576"/>
      <c r="X858" s="576"/>
      <c r="Y858" s="576"/>
      <c r="Z858" s="576"/>
    </row>
    <row r="859" spans="1:26" ht="18.75">
      <c r="A859" s="680"/>
      <c r="B859" s="680"/>
      <c r="C859" s="680"/>
      <c r="D859" s="910"/>
      <c r="E859" s="680"/>
      <c r="F859" s="680"/>
      <c r="G859" s="680"/>
      <c r="H859" s="911"/>
      <c r="I859" s="912"/>
      <c r="J859" s="912"/>
      <c r="K859" s="913"/>
      <c r="L859" s="913"/>
      <c r="M859" s="913"/>
      <c r="N859" s="913"/>
      <c r="O859" s="913"/>
      <c r="P859" s="913"/>
      <c r="Q859" s="576"/>
      <c r="R859" s="576"/>
      <c r="S859" s="576"/>
      <c r="T859" s="576"/>
      <c r="U859" s="576"/>
      <c r="V859" s="576"/>
      <c r="W859" s="576"/>
      <c r="X859" s="576"/>
      <c r="Y859" s="576"/>
      <c r="Z859" s="576"/>
    </row>
    <row r="860" spans="1:26" ht="18.75">
      <c r="A860" s="680"/>
      <c r="B860" s="680"/>
      <c r="C860" s="680"/>
      <c r="D860" s="910"/>
      <c r="E860" s="680"/>
      <c r="F860" s="680"/>
      <c r="G860" s="680"/>
      <c r="H860" s="911"/>
      <c r="I860" s="912"/>
      <c r="J860" s="912"/>
      <c r="K860" s="913"/>
      <c r="L860" s="913"/>
      <c r="M860" s="913"/>
      <c r="N860" s="913"/>
      <c r="O860" s="913"/>
      <c r="P860" s="913"/>
      <c r="Q860" s="576"/>
      <c r="R860" s="576"/>
      <c r="S860" s="576"/>
      <c r="T860" s="576"/>
      <c r="U860" s="576"/>
      <c r="V860" s="576"/>
      <c r="W860" s="576"/>
      <c r="X860" s="576"/>
      <c r="Y860" s="576"/>
      <c r="Z860" s="576"/>
    </row>
    <row r="861" spans="1:26" ht="18.75">
      <c r="A861" s="680"/>
      <c r="B861" s="680"/>
      <c r="C861" s="680"/>
      <c r="D861" s="910"/>
      <c r="E861" s="680"/>
      <c r="F861" s="680"/>
      <c r="G861" s="680"/>
      <c r="H861" s="911"/>
      <c r="I861" s="912"/>
      <c r="J861" s="912"/>
      <c r="K861" s="913"/>
      <c r="L861" s="913"/>
      <c r="M861" s="913"/>
      <c r="N861" s="913"/>
      <c r="O861" s="913"/>
      <c r="P861" s="913"/>
      <c r="Q861" s="576"/>
      <c r="R861" s="576"/>
      <c r="S861" s="576"/>
      <c r="T861" s="576"/>
      <c r="U861" s="576"/>
      <c r="V861" s="576"/>
      <c r="W861" s="576"/>
      <c r="X861" s="576"/>
      <c r="Y861" s="576"/>
      <c r="Z861" s="576"/>
    </row>
    <row r="862" spans="1:26" ht="18.75">
      <c r="A862" s="680"/>
      <c r="B862" s="680"/>
      <c r="C862" s="680"/>
      <c r="D862" s="910"/>
      <c r="E862" s="680"/>
      <c r="F862" s="680"/>
      <c r="G862" s="680"/>
      <c r="H862" s="911"/>
      <c r="I862" s="912"/>
      <c r="J862" s="912"/>
      <c r="K862" s="913"/>
      <c r="L862" s="913"/>
      <c r="M862" s="913"/>
      <c r="N862" s="913"/>
      <c r="O862" s="913"/>
      <c r="P862" s="913"/>
      <c r="Q862" s="576"/>
      <c r="R862" s="576"/>
      <c r="S862" s="576"/>
      <c r="T862" s="576"/>
      <c r="U862" s="576"/>
      <c r="V862" s="576"/>
      <c r="W862" s="576"/>
      <c r="X862" s="576"/>
      <c r="Y862" s="576"/>
      <c r="Z862" s="576"/>
    </row>
    <row r="863" spans="1:26" ht="18.75">
      <c r="A863" s="680"/>
      <c r="B863" s="680"/>
      <c r="C863" s="680"/>
      <c r="D863" s="910"/>
      <c r="E863" s="680"/>
      <c r="F863" s="680"/>
      <c r="G863" s="680"/>
      <c r="H863" s="911"/>
      <c r="I863" s="912"/>
      <c r="J863" s="912"/>
      <c r="K863" s="913"/>
      <c r="L863" s="913"/>
      <c r="M863" s="913"/>
      <c r="N863" s="913"/>
      <c r="O863" s="913"/>
      <c r="P863" s="913"/>
      <c r="Q863" s="576"/>
      <c r="R863" s="576"/>
      <c r="S863" s="576"/>
      <c r="T863" s="576"/>
      <c r="U863" s="576"/>
      <c r="V863" s="576"/>
      <c r="W863" s="576"/>
      <c r="X863" s="576"/>
      <c r="Y863" s="576"/>
      <c r="Z863" s="576"/>
    </row>
    <row r="864" spans="1:26" ht="18.75">
      <c r="A864" s="680"/>
      <c r="B864" s="680"/>
      <c r="C864" s="680"/>
      <c r="D864" s="910"/>
      <c r="E864" s="680"/>
      <c r="F864" s="680"/>
      <c r="G864" s="680"/>
      <c r="H864" s="911"/>
      <c r="I864" s="912"/>
      <c r="J864" s="912"/>
      <c r="K864" s="913"/>
      <c r="L864" s="913"/>
      <c r="M864" s="913"/>
      <c r="N864" s="913"/>
      <c r="O864" s="913"/>
      <c r="P864" s="913"/>
      <c r="Q864" s="576"/>
      <c r="R864" s="576"/>
      <c r="S864" s="576"/>
      <c r="T864" s="576"/>
      <c r="U864" s="576"/>
      <c r="V864" s="576"/>
      <c r="W864" s="576"/>
      <c r="X864" s="576"/>
      <c r="Y864" s="576"/>
      <c r="Z864" s="576"/>
    </row>
    <row r="865" spans="1:26" ht="18.75">
      <c r="A865" s="680"/>
      <c r="B865" s="680"/>
      <c r="C865" s="680"/>
      <c r="D865" s="910"/>
      <c r="E865" s="680"/>
      <c r="F865" s="680"/>
      <c r="G865" s="680"/>
      <c r="H865" s="911"/>
      <c r="I865" s="912"/>
      <c r="J865" s="912"/>
      <c r="K865" s="913"/>
      <c r="L865" s="913"/>
      <c r="M865" s="913"/>
      <c r="N865" s="913"/>
      <c r="O865" s="913"/>
      <c r="P865" s="913"/>
      <c r="Q865" s="576"/>
      <c r="R865" s="576"/>
      <c r="S865" s="576"/>
      <c r="T865" s="576"/>
      <c r="U865" s="576"/>
      <c r="V865" s="576"/>
      <c r="W865" s="576"/>
      <c r="X865" s="576"/>
      <c r="Y865" s="576"/>
      <c r="Z865" s="576"/>
    </row>
    <row r="866" spans="1:26" ht="18.75">
      <c r="A866" s="680"/>
      <c r="B866" s="680"/>
      <c r="C866" s="680"/>
      <c r="D866" s="910"/>
      <c r="E866" s="680"/>
      <c r="F866" s="680"/>
      <c r="G866" s="680"/>
      <c r="H866" s="911"/>
      <c r="I866" s="912"/>
      <c r="J866" s="912"/>
      <c r="K866" s="913"/>
      <c r="L866" s="913"/>
      <c r="M866" s="913"/>
      <c r="N866" s="913"/>
      <c r="O866" s="913"/>
      <c r="P866" s="913"/>
      <c r="Q866" s="576"/>
      <c r="R866" s="576"/>
      <c r="S866" s="576"/>
      <c r="T866" s="576"/>
      <c r="U866" s="576"/>
      <c r="V866" s="576"/>
      <c r="W866" s="576"/>
      <c r="X866" s="576"/>
      <c r="Y866" s="576"/>
      <c r="Z866" s="576"/>
    </row>
    <row r="867" spans="1:26" ht="18.75">
      <c r="A867" s="680"/>
      <c r="B867" s="680"/>
      <c r="C867" s="680"/>
      <c r="D867" s="910"/>
      <c r="E867" s="680"/>
      <c r="F867" s="680"/>
      <c r="G867" s="680"/>
      <c r="H867" s="911"/>
      <c r="I867" s="912"/>
      <c r="J867" s="912"/>
      <c r="K867" s="913"/>
      <c r="L867" s="913"/>
      <c r="M867" s="913"/>
      <c r="N867" s="913"/>
      <c r="O867" s="913"/>
      <c r="P867" s="913"/>
      <c r="Q867" s="576"/>
      <c r="R867" s="576"/>
      <c r="S867" s="576"/>
      <c r="T867" s="576"/>
      <c r="U867" s="576"/>
      <c r="V867" s="576"/>
      <c r="W867" s="576"/>
      <c r="X867" s="576"/>
      <c r="Y867" s="576"/>
      <c r="Z867" s="576"/>
    </row>
    <row r="868" spans="1:26" ht="18.75">
      <c r="A868" s="680"/>
      <c r="B868" s="680"/>
      <c r="C868" s="680"/>
      <c r="D868" s="910"/>
      <c r="E868" s="680"/>
      <c r="F868" s="680"/>
      <c r="G868" s="680"/>
      <c r="H868" s="911"/>
      <c r="I868" s="912"/>
      <c r="J868" s="912"/>
      <c r="K868" s="913"/>
      <c r="L868" s="913"/>
      <c r="M868" s="913"/>
      <c r="N868" s="913"/>
      <c r="O868" s="913"/>
      <c r="P868" s="913"/>
      <c r="Q868" s="576"/>
      <c r="R868" s="576"/>
      <c r="S868" s="576"/>
      <c r="T868" s="576"/>
      <c r="U868" s="576"/>
      <c r="V868" s="576"/>
      <c r="W868" s="576"/>
      <c r="X868" s="576"/>
      <c r="Y868" s="576"/>
      <c r="Z868" s="576"/>
    </row>
    <row r="869" spans="1:26" ht="18.75">
      <c r="A869" s="680"/>
      <c r="B869" s="680"/>
      <c r="C869" s="680"/>
      <c r="D869" s="910"/>
      <c r="E869" s="680"/>
      <c r="F869" s="680"/>
      <c r="G869" s="680"/>
      <c r="H869" s="911"/>
      <c r="I869" s="912"/>
      <c r="J869" s="912"/>
      <c r="K869" s="913"/>
      <c r="L869" s="913"/>
      <c r="M869" s="913"/>
      <c r="N869" s="913"/>
      <c r="O869" s="913"/>
      <c r="P869" s="913"/>
      <c r="Q869" s="576"/>
      <c r="R869" s="576"/>
      <c r="S869" s="576"/>
      <c r="T869" s="576"/>
      <c r="U869" s="576"/>
      <c r="V869" s="576"/>
      <c r="W869" s="576"/>
      <c r="X869" s="576"/>
      <c r="Y869" s="576"/>
      <c r="Z869" s="576"/>
    </row>
    <row r="870" spans="1:26" ht="18.75">
      <c r="A870" s="680"/>
      <c r="B870" s="680"/>
      <c r="C870" s="680"/>
      <c r="D870" s="910"/>
      <c r="E870" s="680"/>
      <c r="F870" s="680"/>
      <c r="G870" s="680"/>
      <c r="H870" s="911"/>
      <c r="I870" s="912"/>
      <c r="J870" s="912"/>
      <c r="K870" s="913"/>
      <c r="L870" s="913"/>
      <c r="M870" s="913"/>
      <c r="N870" s="913"/>
      <c r="O870" s="913"/>
      <c r="P870" s="913"/>
      <c r="Q870" s="576"/>
      <c r="R870" s="576"/>
      <c r="S870" s="576"/>
      <c r="T870" s="576"/>
      <c r="U870" s="576"/>
      <c r="V870" s="576"/>
      <c r="W870" s="576"/>
      <c r="X870" s="576"/>
      <c r="Y870" s="576"/>
      <c r="Z870" s="576"/>
    </row>
    <row r="871" spans="1:26" ht="18.75">
      <c r="A871" s="680"/>
      <c r="B871" s="680"/>
      <c r="C871" s="680"/>
      <c r="D871" s="910"/>
      <c r="E871" s="680"/>
      <c r="F871" s="680"/>
      <c r="G871" s="680"/>
      <c r="H871" s="911"/>
      <c r="I871" s="912"/>
      <c r="J871" s="912"/>
      <c r="K871" s="913"/>
      <c r="L871" s="913"/>
      <c r="M871" s="913"/>
      <c r="N871" s="913"/>
      <c r="O871" s="913"/>
      <c r="P871" s="913"/>
      <c r="Q871" s="576"/>
      <c r="R871" s="576"/>
      <c r="S871" s="576"/>
      <c r="T871" s="576"/>
      <c r="U871" s="576"/>
      <c r="V871" s="576"/>
      <c r="W871" s="576"/>
      <c r="X871" s="576"/>
      <c r="Y871" s="576"/>
      <c r="Z871" s="576"/>
    </row>
    <row r="872" spans="1:26" ht="18.75">
      <c r="A872" s="680"/>
      <c r="B872" s="680"/>
      <c r="C872" s="680"/>
      <c r="D872" s="910"/>
      <c r="E872" s="680"/>
      <c r="F872" s="680"/>
      <c r="G872" s="680"/>
      <c r="H872" s="911"/>
      <c r="I872" s="912"/>
      <c r="J872" s="912"/>
      <c r="K872" s="913"/>
      <c r="L872" s="913"/>
      <c r="M872" s="913"/>
      <c r="N872" s="913"/>
      <c r="O872" s="913"/>
      <c r="P872" s="913"/>
      <c r="Q872" s="576"/>
      <c r="R872" s="576"/>
      <c r="S872" s="576"/>
      <c r="T872" s="576"/>
      <c r="U872" s="576"/>
      <c r="V872" s="576"/>
      <c r="W872" s="576"/>
      <c r="X872" s="576"/>
      <c r="Y872" s="576"/>
      <c r="Z872" s="576"/>
    </row>
    <row r="873" spans="1:26" ht="18.75">
      <c r="A873" s="680"/>
      <c r="B873" s="680"/>
      <c r="C873" s="680"/>
      <c r="D873" s="910"/>
      <c r="E873" s="680"/>
      <c r="F873" s="680"/>
      <c r="G873" s="680"/>
      <c r="H873" s="911"/>
      <c r="I873" s="912"/>
      <c r="J873" s="912"/>
      <c r="K873" s="913"/>
      <c r="L873" s="913"/>
      <c r="M873" s="913"/>
      <c r="N873" s="913"/>
      <c r="O873" s="913"/>
      <c r="P873" s="913"/>
      <c r="Q873" s="576"/>
      <c r="R873" s="576"/>
      <c r="S873" s="576"/>
      <c r="T873" s="576"/>
      <c r="U873" s="576"/>
      <c r="V873" s="576"/>
      <c r="W873" s="576"/>
      <c r="X873" s="576"/>
      <c r="Y873" s="576"/>
      <c r="Z873" s="576"/>
    </row>
    <row r="874" spans="1:26" ht="18.75">
      <c r="A874" s="680"/>
      <c r="B874" s="680"/>
      <c r="C874" s="680"/>
      <c r="D874" s="910"/>
      <c r="E874" s="680"/>
      <c r="F874" s="680"/>
      <c r="G874" s="680"/>
      <c r="H874" s="911"/>
      <c r="I874" s="912"/>
      <c r="J874" s="912"/>
      <c r="K874" s="913"/>
      <c r="L874" s="913"/>
      <c r="M874" s="913"/>
      <c r="N874" s="913"/>
      <c r="O874" s="913"/>
      <c r="P874" s="913"/>
      <c r="Q874" s="576"/>
      <c r="R874" s="576"/>
      <c r="S874" s="576"/>
      <c r="T874" s="576"/>
      <c r="U874" s="576"/>
      <c r="V874" s="576"/>
      <c r="W874" s="576"/>
      <c r="X874" s="576"/>
      <c r="Y874" s="576"/>
      <c r="Z874" s="576"/>
    </row>
    <row r="875" spans="1:26" ht="18.75">
      <c r="A875" s="680"/>
      <c r="B875" s="680"/>
      <c r="C875" s="680"/>
      <c r="D875" s="910"/>
      <c r="E875" s="680"/>
      <c r="F875" s="680"/>
      <c r="G875" s="680"/>
      <c r="H875" s="911"/>
      <c r="I875" s="912"/>
      <c r="J875" s="912"/>
      <c r="K875" s="913"/>
      <c r="L875" s="913"/>
      <c r="M875" s="913"/>
      <c r="N875" s="913"/>
      <c r="O875" s="913"/>
      <c r="P875" s="913"/>
      <c r="Q875" s="576"/>
      <c r="R875" s="576"/>
      <c r="S875" s="576"/>
      <c r="T875" s="576"/>
      <c r="U875" s="576"/>
      <c r="V875" s="576"/>
      <c r="W875" s="576"/>
      <c r="X875" s="576"/>
      <c r="Y875" s="576"/>
      <c r="Z875" s="576"/>
    </row>
    <row r="876" spans="1:26" ht="18.75">
      <c r="A876" s="680"/>
      <c r="B876" s="680"/>
      <c r="C876" s="680"/>
      <c r="D876" s="910"/>
      <c r="E876" s="680"/>
      <c r="F876" s="680"/>
      <c r="G876" s="680"/>
      <c r="H876" s="911"/>
      <c r="I876" s="912"/>
      <c r="J876" s="912"/>
      <c r="K876" s="913"/>
      <c r="L876" s="913"/>
      <c r="M876" s="913"/>
      <c r="N876" s="913"/>
      <c r="O876" s="913"/>
      <c r="P876" s="913"/>
      <c r="Q876" s="576"/>
      <c r="R876" s="576"/>
      <c r="S876" s="576"/>
      <c r="T876" s="576"/>
      <c r="U876" s="576"/>
      <c r="V876" s="576"/>
      <c r="W876" s="576"/>
      <c r="X876" s="576"/>
      <c r="Y876" s="576"/>
      <c r="Z876" s="576"/>
    </row>
    <row r="877" spans="1:26" ht="18.75">
      <c r="A877" s="680"/>
      <c r="B877" s="680"/>
      <c r="C877" s="680"/>
      <c r="D877" s="910"/>
      <c r="E877" s="680"/>
      <c r="F877" s="680"/>
      <c r="G877" s="680"/>
      <c r="H877" s="911"/>
      <c r="I877" s="912"/>
      <c r="J877" s="912"/>
      <c r="K877" s="913"/>
      <c r="L877" s="913"/>
      <c r="M877" s="913"/>
      <c r="N877" s="913"/>
      <c r="O877" s="913"/>
      <c r="P877" s="913"/>
      <c r="Q877" s="576"/>
      <c r="R877" s="576"/>
      <c r="S877" s="576"/>
      <c r="T877" s="576"/>
      <c r="U877" s="576"/>
      <c r="V877" s="576"/>
      <c r="W877" s="576"/>
      <c r="X877" s="576"/>
      <c r="Y877" s="576"/>
      <c r="Z877" s="576"/>
    </row>
    <row r="878" spans="1:26" ht="18.75">
      <c r="A878" s="680"/>
      <c r="B878" s="680"/>
      <c r="C878" s="680"/>
      <c r="D878" s="910"/>
      <c r="E878" s="680"/>
      <c r="F878" s="680"/>
      <c r="G878" s="680"/>
      <c r="H878" s="911"/>
      <c r="I878" s="912"/>
      <c r="J878" s="912"/>
      <c r="K878" s="913"/>
      <c r="L878" s="913"/>
      <c r="M878" s="913"/>
      <c r="N878" s="913"/>
      <c r="O878" s="913"/>
      <c r="P878" s="913"/>
      <c r="Q878" s="576"/>
      <c r="R878" s="576"/>
      <c r="S878" s="576"/>
      <c r="T878" s="576"/>
      <c r="U878" s="576"/>
      <c r="V878" s="576"/>
      <c r="W878" s="576"/>
      <c r="X878" s="576"/>
      <c r="Y878" s="576"/>
      <c r="Z878" s="576"/>
    </row>
    <row r="879" spans="1:26" ht="18.75">
      <c r="A879" s="680"/>
      <c r="B879" s="680"/>
      <c r="C879" s="680"/>
      <c r="D879" s="910"/>
      <c r="E879" s="680"/>
      <c r="F879" s="680"/>
      <c r="G879" s="680"/>
      <c r="H879" s="911"/>
      <c r="I879" s="912"/>
      <c r="J879" s="912"/>
      <c r="K879" s="913"/>
      <c r="L879" s="913"/>
      <c r="M879" s="913"/>
      <c r="N879" s="913"/>
      <c r="O879" s="913"/>
      <c r="P879" s="913"/>
      <c r="Q879" s="576"/>
      <c r="R879" s="576"/>
      <c r="S879" s="576"/>
      <c r="T879" s="576"/>
      <c r="U879" s="576"/>
      <c r="V879" s="576"/>
      <c r="W879" s="576"/>
      <c r="X879" s="576"/>
      <c r="Y879" s="576"/>
      <c r="Z879" s="576"/>
    </row>
    <row r="880" spans="1:26" ht="18.75">
      <c r="A880" s="680"/>
      <c r="B880" s="680"/>
      <c r="C880" s="680"/>
      <c r="D880" s="910"/>
      <c r="E880" s="680"/>
      <c r="F880" s="680"/>
      <c r="G880" s="680"/>
      <c r="H880" s="911"/>
      <c r="I880" s="912"/>
      <c r="J880" s="912"/>
      <c r="K880" s="913"/>
      <c r="L880" s="913"/>
      <c r="M880" s="913"/>
      <c r="N880" s="913"/>
      <c r="O880" s="913"/>
      <c r="P880" s="913"/>
      <c r="Q880" s="576"/>
      <c r="R880" s="576"/>
      <c r="S880" s="576"/>
      <c r="T880" s="576"/>
      <c r="U880" s="576"/>
      <c r="V880" s="576"/>
      <c r="W880" s="576"/>
      <c r="X880" s="576"/>
      <c r="Y880" s="576"/>
      <c r="Z880" s="576"/>
    </row>
    <row r="881" spans="1:26" ht="18.75">
      <c r="A881" s="680"/>
      <c r="B881" s="680"/>
      <c r="C881" s="680"/>
      <c r="D881" s="910"/>
      <c r="E881" s="680"/>
      <c r="F881" s="680"/>
      <c r="G881" s="680"/>
      <c r="H881" s="911"/>
      <c r="I881" s="912"/>
      <c r="J881" s="912"/>
      <c r="K881" s="913"/>
      <c r="L881" s="913"/>
      <c r="M881" s="913"/>
      <c r="N881" s="913"/>
      <c r="O881" s="913"/>
      <c r="P881" s="913"/>
      <c r="Q881" s="576"/>
      <c r="R881" s="576"/>
      <c r="S881" s="576"/>
      <c r="T881" s="576"/>
      <c r="U881" s="576"/>
      <c r="V881" s="576"/>
      <c r="W881" s="576"/>
      <c r="X881" s="576"/>
      <c r="Y881" s="576"/>
      <c r="Z881" s="576"/>
    </row>
    <row r="882" spans="1:26" ht="18.75">
      <c r="A882" s="680"/>
      <c r="B882" s="680"/>
      <c r="C882" s="680"/>
      <c r="D882" s="910"/>
      <c r="E882" s="680"/>
      <c r="F882" s="680"/>
      <c r="G882" s="680"/>
      <c r="H882" s="911"/>
      <c r="I882" s="912"/>
      <c r="J882" s="912"/>
      <c r="K882" s="913"/>
      <c r="L882" s="913"/>
      <c r="M882" s="913"/>
      <c r="N882" s="913"/>
      <c r="O882" s="913"/>
      <c r="P882" s="913"/>
      <c r="Q882" s="576"/>
      <c r="R882" s="576"/>
      <c r="S882" s="576"/>
      <c r="T882" s="576"/>
      <c r="U882" s="576"/>
      <c r="V882" s="576"/>
      <c r="W882" s="576"/>
      <c r="X882" s="576"/>
      <c r="Y882" s="576"/>
      <c r="Z882" s="576"/>
    </row>
    <row r="883" spans="1:26" ht="18.75">
      <c r="A883" s="680"/>
      <c r="B883" s="680"/>
      <c r="C883" s="680"/>
      <c r="D883" s="910"/>
      <c r="E883" s="680"/>
      <c r="F883" s="680"/>
      <c r="G883" s="680"/>
      <c r="H883" s="911"/>
      <c r="I883" s="912"/>
      <c r="J883" s="912"/>
      <c r="K883" s="913"/>
      <c r="L883" s="913"/>
      <c r="M883" s="913"/>
      <c r="N883" s="913"/>
      <c r="O883" s="913"/>
      <c r="P883" s="913"/>
      <c r="Q883" s="576"/>
      <c r="R883" s="576"/>
      <c r="S883" s="576"/>
      <c r="T883" s="576"/>
      <c r="U883" s="576"/>
      <c r="V883" s="576"/>
      <c r="W883" s="576"/>
      <c r="X883" s="576"/>
      <c r="Y883" s="576"/>
      <c r="Z883" s="576"/>
    </row>
    <row r="884" spans="1:26" ht="18.75">
      <c r="A884" s="680"/>
      <c r="B884" s="680"/>
      <c r="C884" s="680"/>
      <c r="D884" s="910"/>
      <c r="E884" s="680"/>
      <c r="F884" s="680"/>
      <c r="G884" s="680"/>
      <c r="H884" s="911"/>
      <c r="I884" s="912"/>
      <c r="J884" s="912"/>
      <c r="K884" s="913"/>
      <c r="L884" s="913"/>
      <c r="M884" s="913"/>
      <c r="N884" s="913"/>
      <c r="O884" s="913"/>
      <c r="P884" s="913"/>
      <c r="Q884" s="576"/>
      <c r="R884" s="576"/>
      <c r="S884" s="576"/>
      <c r="T884" s="576"/>
      <c r="U884" s="576"/>
      <c r="V884" s="576"/>
      <c r="W884" s="576"/>
      <c r="X884" s="576"/>
      <c r="Y884" s="576"/>
      <c r="Z884" s="576"/>
    </row>
    <row r="885" spans="1:26" ht="18.75">
      <c r="A885" s="680"/>
      <c r="B885" s="680"/>
      <c r="C885" s="680"/>
      <c r="D885" s="910"/>
      <c r="E885" s="680"/>
      <c r="F885" s="680"/>
      <c r="G885" s="680"/>
      <c r="H885" s="911"/>
      <c r="I885" s="912"/>
      <c r="J885" s="912"/>
      <c r="K885" s="913"/>
      <c r="L885" s="913"/>
      <c r="M885" s="913"/>
      <c r="N885" s="913"/>
      <c r="O885" s="913"/>
      <c r="P885" s="913"/>
      <c r="Q885" s="576"/>
      <c r="R885" s="576"/>
      <c r="S885" s="576"/>
      <c r="T885" s="576"/>
      <c r="U885" s="576"/>
      <c r="V885" s="576"/>
      <c r="W885" s="576"/>
      <c r="X885" s="576"/>
      <c r="Y885" s="576"/>
      <c r="Z885" s="576"/>
    </row>
    <row r="886" spans="1:26" ht="18.75">
      <c r="A886" s="680"/>
      <c r="B886" s="680"/>
      <c r="C886" s="680"/>
      <c r="D886" s="910"/>
      <c r="E886" s="680"/>
      <c r="F886" s="680"/>
      <c r="G886" s="680"/>
      <c r="H886" s="911"/>
      <c r="I886" s="912"/>
      <c r="J886" s="912"/>
      <c r="K886" s="913"/>
      <c r="L886" s="913"/>
      <c r="M886" s="913"/>
      <c r="N886" s="913"/>
      <c r="O886" s="913"/>
      <c r="P886" s="913"/>
      <c r="Q886" s="576"/>
      <c r="R886" s="576"/>
      <c r="S886" s="576"/>
      <c r="T886" s="576"/>
      <c r="U886" s="576"/>
      <c r="V886" s="576"/>
      <c r="W886" s="576"/>
      <c r="X886" s="576"/>
      <c r="Y886" s="576"/>
      <c r="Z886" s="576"/>
    </row>
    <row r="887" spans="1:26" ht="18.75">
      <c r="A887" s="680"/>
      <c r="B887" s="680"/>
      <c r="C887" s="680"/>
      <c r="D887" s="910"/>
      <c r="E887" s="680"/>
      <c r="F887" s="680"/>
      <c r="G887" s="680"/>
      <c r="H887" s="911"/>
      <c r="I887" s="912"/>
      <c r="J887" s="912"/>
      <c r="K887" s="913"/>
      <c r="L887" s="913"/>
      <c r="M887" s="913"/>
      <c r="N887" s="913"/>
      <c r="O887" s="913"/>
      <c r="P887" s="913"/>
      <c r="Q887" s="576"/>
      <c r="R887" s="576"/>
      <c r="S887" s="576"/>
      <c r="T887" s="576"/>
      <c r="U887" s="576"/>
      <c r="V887" s="576"/>
      <c r="W887" s="576"/>
      <c r="X887" s="576"/>
      <c r="Y887" s="576"/>
      <c r="Z887" s="576"/>
    </row>
    <row r="888" spans="1:26" ht="18.75">
      <c r="A888" s="680"/>
      <c r="B888" s="680"/>
      <c r="C888" s="680"/>
      <c r="D888" s="910"/>
      <c r="E888" s="680"/>
      <c r="F888" s="680"/>
      <c r="G888" s="680"/>
      <c r="H888" s="911"/>
      <c r="I888" s="912"/>
      <c r="J888" s="912"/>
      <c r="K888" s="913"/>
      <c r="L888" s="913"/>
      <c r="M888" s="913"/>
      <c r="N888" s="913"/>
      <c r="O888" s="913"/>
      <c r="P888" s="913"/>
      <c r="Q888" s="576"/>
      <c r="R888" s="576"/>
      <c r="S888" s="576"/>
      <c r="T888" s="576"/>
      <c r="U888" s="576"/>
      <c r="V888" s="576"/>
      <c r="W888" s="576"/>
      <c r="X888" s="576"/>
      <c r="Y888" s="576"/>
      <c r="Z888" s="576"/>
    </row>
    <row r="889" spans="1:26" ht="18.75">
      <c r="A889" s="680"/>
      <c r="B889" s="680"/>
      <c r="C889" s="680"/>
      <c r="D889" s="910"/>
      <c r="E889" s="680"/>
      <c r="F889" s="680"/>
      <c r="G889" s="680"/>
      <c r="H889" s="911"/>
      <c r="I889" s="912"/>
      <c r="J889" s="912"/>
      <c r="K889" s="913"/>
      <c r="L889" s="913"/>
      <c r="M889" s="913"/>
      <c r="N889" s="913"/>
      <c r="O889" s="913"/>
      <c r="P889" s="913"/>
      <c r="Q889" s="576"/>
      <c r="R889" s="576"/>
      <c r="S889" s="576"/>
      <c r="T889" s="576"/>
      <c r="U889" s="576"/>
      <c r="V889" s="576"/>
      <c r="W889" s="576"/>
      <c r="X889" s="576"/>
      <c r="Y889" s="576"/>
      <c r="Z889" s="576"/>
    </row>
    <row r="890" spans="1:26" ht="18.75">
      <c r="A890" s="680"/>
      <c r="B890" s="680"/>
      <c r="C890" s="680"/>
      <c r="D890" s="910"/>
      <c r="E890" s="680"/>
      <c r="F890" s="680"/>
      <c r="G890" s="680"/>
      <c r="H890" s="911"/>
      <c r="I890" s="912"/>
      <c r="J890" s="912"/>
      <c r="K890" s="913"/>
      <c r="L890" s="913"/>
      <c r="M890" s="913"/>
      <c r="N890" s="913"/>
      <c r="O890" s="913"/>
      <c r="P890" s="913"/>
      <c r="Q890" s="576"/>
      <c r="R890" s="576"/>
      <c r="S890" s="576"/>
      <c r="T890" s="576"/>
      <c r="U890" s="576"/>
      <c r="V890" s="576"/>
      <c r="W890" s="576"/>
      <c r="X890" s="576"/>
      <c r="Y890" s="576"/>
      <c r="Z890" s="576"/>
    </row>
    <row r="891" spans="1:26" ht="18.75">
      <c r="A891" s="680"/>
      <c r="B891" s="680"/>
      <c r="C891" s="680"/>
      <c r="D891" s="910"/>
      <c r="E891" s="680"/>
      <c r="F891" s="680"/>
      <c r="G891" s="680"/>
      <c r="H891" s="911"/>
      <c r="I891" s="912"/>
      <c r="J891" s="912"/>
      <c r="K891" s="913"/>
      <c r="L891" s="913"/>
      <c r="M891" s="913"/>
      <c r="N891" s="913"/>
      <c r="O891" s="913"/>
      <c r="P891" s="913"/>
      <c r="Q891" s="576"/>
      <c r="R891" s="576"/>
      <c r="S891" s="576"/>
      <c r="T891" s="576"/>
      <c r="U891" s="576"/>
      <c r="V891" s="576"/>
      <c r="W891" s="576"/>
      <c r="X891" s="576"/>
      <c r="Y891" s="576"/>
      <c r="Z891" s="576"/>
    </row>
    <row r="892" spans="1:26" ht="18.75">
      <c r="A892" s="680"/>
      <c r="B892" s="680"/>
      <c r="C892" s="680"/>
      <c r="D892" s="910"/>
      <c r="E892" s="680"/>
      <c r="F892" s="680"/>
      <c r="G892" s="680"/>
      <c r="H892" s="911"/>
      <c r="I892" s="912"/>
      <c r="J892" s="912"/>
      <c r="K892" s="913"/>
      <c r="L892" s="913"/>
      <c r="M892" s="913"/>
      <c r="N892" s="913"/>
      <c r="O892" s="913"/>
      <c r="P892" s="913"/>
      <c r="Q892" s="576"/>
      <c r="R892" s="576"/>
      <c r="S892" s="576"/>
      <c r="T892" s="576"/>
      <c r="U892" s="576"/>
      <c r="V892" s="576"/>
      <c r="W892" s="576"/>
      <c r="X892" s="576"/>
      <c r="Y892" s="576"/>
      <c r="Z892" s="576"/>
    </row>
    <row r="893" spans="1:26" ht="18.75">
      <c r="A893" s="680"/>
      <c r="B893" s="680"/>
      <c r="C893" s="680"/>
      <c r="D893" s="910"/>
      <c r="E893" s="680"/>
      <c r="F893" s="680"/>
      <c r="G893" s="680"/>
      <c r="H893" s="911"/>
      <c r="I893" s="912"/>
      <c r="J893" s="912"/>
      <c r="K893" s="913"/>
      <c r="L893" s="913"/>
      <c r="M893" s="913"/>
      <c r="N893" s="913"/>
      <c r="O893" s="913"/>
      <c r="P893" s="913"/>
      <c r="Q893" s="576"/>
      <c r="R893" s="576"/>
      <c r="S893" s="576"/>
      <c r="T893" s="576"/>
      <c r="U893" s="576"/>
      <c r="V893" s="576"/>
      <c r="W893" s="576"/>
      <c r="X893" s="576"/>
      <c r="Y893" s="576"/>
      <c r="Z893" s="576"/>
    </row>
    <row r="894" spans="1:26" ht="18.75">
      <c r="A894" s="680"/>
      <c r="B894" s="680"/>
      <c r="C894" s="680"/>
      <c r="D894" s="910"/>
      <c r="E894" s="680"/>
      <c r="F894" s="680"/>
      <c r="G894" s="680"/>
      <c r="H894" s="911"/>
      <c r="I894" s="912"/>
      <c r="J894" s="912"/>
      <c r="K894" s="913"/>
      <c r="L894" s="913"/>
      <c r="M894" s="913"/>
      <c r="N894" s="913"/>
      <c r="O894" s="913"/>
      <c r="P894" s="913"/>
      <c r="Q894" s="576"/>
      <c r="R894" s="576"/>
      <c r="S894" s="576"/>
      <c r="T894" s="576"/>
      <c r="U894" s="576"/>
      <c r="V894" s="576"/>
      <c r="W894" s="576"/>
      <c r="X894" s="576"/>
      <c r="Y894" s="576"/>
      <c r="Z894" s="576"/>
    </row>
    <row r="895" spans="1:26" ht="18.75">
      <c r="A895" s="680"/>
      <c r="B895" s="680"/>
      <c r="C895" s="680"/>
      <c r="D895" s="910"/>
      <c r="E895" s="680"/>
      <c r="F895" s="680"/>
      <c r="G895" s="680"/>
      <c r="H895" s="911"/>
      <c r="I895" s="912"/>
      <c r="J895" s="912"/>
      <c r="K895" s="913"/>
      <c r="L895" s="913"/>
      <c r="M895" s="913"/>
      <c r="N895" s="913"/>
      <c r="O895" s="913"/>
      <c r="P895" s="913"/>
      <c r="Q895" s="576"/>
      <c r="R895" s="576"/>
      <c r="S895" s="576"/>
      <c r="T895" s="576"/>
      <c r="U895" s="576"/>
      <c r="V895" s="576"/>
      <c r="W895" s="576"/>
      <c r="X895" s="576"/>
      <c r="Y895" s="576"/>
      <c r="Z895" s="576"/>
    </row>
    <row r="896" spans="1:26" ht="18.75">
      <c r="A896" s="680"/>
      <c r="B896" s="680"/>
      <c r="C896" s="680"/>
      <c r="D896" s="910"/>
      <c r="E896" s="680"/>
      <c r="F896" s="680"/>
      <c r="G896" s="680"/>
      <c r="H896" s="911"/>
      <c r="I896" s="912"/>
      <c r="J896" s="912"/>
      <c r="K896" s="913"/>
      <c r="L896" s="913"/>
      <c r="M896" s="913"/>
      <c r="N896" s="913"/>
      <c r="O896" s="913"/>
      <c r="P896" s="913"/>
      <c r="Q896" s="576"/>
      <c r="R896" s="576"/>
      <c r="S896" s="576"/>
      <c r="T896" s="576"/>
      <c r="U896" s="576"/>
      <c r="V896" s="576"/>
      <c r="W896" s="576"/>
      <c r="X896" s="576"/>
      <c r="Y896" s="576"/>
      <c r="Z896" s="576"/>
    </row>
    <row r="897" spans="1:26" ht="18.75">
      <c r="A897" s="680"/>
      <c r="B897" s="680"/>
      <c r="C897" s="680"/>
      <c r="D897" s="910"/>
      <c r="E897" s="680"/>
      <c r="F897" s="680"/>
      <c r="G897" s="680"/>
      <c r="H897" s="911"/>
      <c r="I897" s="912"/>
      <c r="J897" s="912"/>
      <c r="K897" s="913"/>
      <c r="L897" s="913"/>
      <c r="M897" s="913"/>
      <c r="N897" s="913"/>
      <c r="O897" s="913"/>
      <c r="P897" s="913"/>
      <c r="Q897" s="576"/>
      <c r="R897" s="576"/>
      <c r="S897" s="576"/>
      <c r="T897" s="576"/>
      <c r="U897" s="576"/>
      <c r="V897" s="576"/>
      <c r="W897" s="576"/>
      <c r="X897" s="576"/>
      <c r="Y897" s="576"/>
      <c r="Z897" s="576"/>
    </row>
    <row r="898" spans="1:26" ht="18.75">
      <c r="A898" s="680"/>
      <c r="B898" s="680"/>
      <c r="C898" s="680"/>
      <c r="D898" s="910"/>
      <c r="E898" s="680"/>
      <c r="F898" s="680"/>
      <c r="G898" s="680"/>
      <c r="H898" s="911"/>
      <c r="I898" s="912"/>
      <c r="J898" s="912"/>
      <c r="K898" s="913"/>
      <c r="L898" s="913"/>
      <c r="M898" s="913"/>
      <c r="N898" s="913"/>
      <c r="O898" s="913"/>
      <c r="P898" s="913"/>
      <c r="Q898" s="576"/>
      <c r="R898" s="576"/>
      <c r="S898" s="576"/>
      <c r="T898" s="576"/>
      <c r="U898" s="576"/>
      <c r="V898" s="576"/>
      <c r="W898" s="576"/>
      <c r="X898" s="576"/>
      <c r="Y898" s="576"/>
      <c r="Z898" s="576"/>
    </row>
    <row r="899" spans="1:26" ht="18.75">
      <c r="A899" s="680"/>
      <c r="B899" s="680"/>
      <c r="C899" s="680"/>
      <c r="D899" s="910"/>
      <c r="E899" s="680"/>
      <c r="F899" s="680"/>
      <c r="G899" s="680"/>
      <c r="H899" s="911"/>
      <c r="I899" s="912"/>
      <c r="J899" s="912"/>
      <c r="K899" s="913"/>
      <c r="L899" s="913"/>
      <c r="M899" s="913"/>
      <c r="N899" s="913"/>
      <c r="O899" s="913"/>
      <c r="P899" s="913"/>
      <c r="Q899" s="576"/>
      <c r="R899" s="576"/>
      <c r="S899" s="576"/>
      <c r="T899" s="576"/>
      <c r="U899" s="576"/>
      <c r="V899" s="576"/>
      <c r="W899" s="576"/>
      <c r="X899" s="576"/>
      <c r="Y899" s="576"/>
      <c r="Z899" s="576"/>
    </row>
    <row r="900" spans="1:26" ht="18.75">
      <c r="A900" s="680"/>
      <c r="B900" s="680"/>
      <c r="C900" s="680"/>
      <c r="D900" s="910"/>
      <c r="E900" s="680"/>
      <c r="F900" s="680"/>
      <c r="G900" s="680"/>
      <c r="H900" s="911"/>
      <c r="I900" s="912"/>
      <c r="J900" s="912"/>
      <c r="K900" s="913"/>
      <c r="L900" s="913"/>
      <c r="M900" s="913"/>
      <c r="N900" s="913"/>
      <c r="O900" s="913"/>
      <c r="P900" s="913"/>
      <c r="Q900" s="576"/>
      <c r="R900" s="576"/>
      <c r="S900" s="576"/>
      <c r="T900" s="576"/>
      <c r="U900" s="576"/>
      <c r="V900" s="576"/>
      <c r="W900" s="576"/>
      <c r="X900" s="576"/>
      <c r="Y900" s="576"/>
      <c r="Z900" s="576"/>
    </row>
    <row r="901" spans="1:26" ht="18.75">
      <c r="A901" s="680"/>
      <c r="B901" s="680"/>
      <c r="C901" s="680"/>
      <c r="D901" s="910"/>
      <c r="E901" s="680"/>
      <c r="F901" s="680"/>
      <c r="G901" s="680"/>
      <c r="H901" s="911"/>
      <c r="I901" s="912"/>
      <c r="J901" s="912"/>
      <c r="K901" s="913"/>
      <c r="L901" s="913"/>
      <c r="M901" s="913"/>
      <c r="N901" s="913"/>
      <c r="O901" s="913"/>
      <c r="P901" s="913"/>
      <c r="Q901" s="576"/>
      <c r="R901" s="576"/>
      <c r="S901" s="576"/>
      <c r="T901" s="576"/>
      <c r="U901" s="576"/>
      <c r="V901" s="576"/>
      <c r="W901" s="576"/>
      <c r="X901" s="576"/>
      <c r="Y901" s="576"/>
      <c r="Z901" s="576"/>
    </row>
    <row r="902" spans="1:26" ht="18.75">
      <c r="A902" s="680"/>
      <c r="B902" s="680"/>
      <c r="C902" s="680"/>
      <c r="D902" s="910"/>
      <c r="E902" s="680"/>
      <c r="F902" s="680"/>
      <c r="G902" s="680"/>
      <c r="H902" s="911"/>
      <c r="I902" s="912"/>
      <c r="J902" s="912"/>
      <c r="K902" s="913"/>
      <c r="L902" s="913"/>
      <c r="M902" s="913"/>
      <c r="N902" s="913"/>
      <c r="O902" s="913"/>
      <c r="P902" s="913"/>
      <c r="Q902" s="576"/>
      <c r="R902" s="576"/>
      <c r="S902" s="576"/>
      <c r="T902" s="576"/>
      <c r="U902" s="576"/>
      <c r="V902" s="576"/>
      <c r="W902" s="576"/>
      <c r="X902" s="576"/>
      <c r="Y902" s="576"/>
      <c r="Z902" s="576"/>
    </row>
    <row r="903" spans="1:26" ht="18.75">
      <c r="A903" s="680"/>
      <c r="B903" s="680"/>
      <c r="C903" s="680"/>
      <c r="D903" s="910"/>
      <c r="E903" s="680"/>
      <c r="F903" s="680"/>
      <c r="G903" s="680"/>
      <c r="H903" s="911"/>
      <c r="I903" s="912"/>
      <c r="J903" s="912"/>
      <c r="K903" s="913"/>
      <c r="L903" s="913"/>
      <c r="M903" s="913"/>
      <c r="N903" s="913"/>
      <c r="O903" s="913"/>
      <c r="P903" s="913"/>
      <c r="Q903" s="576"/>
      <c r="R903" s="576"/>
      <c r="S903" s="576"/>
      <c r="T903" s="576"/>
      <c r="U903" s="576"/>
      <c r="V903" s="576"/>
      <c r="W903" s="576"/>
      <c r="X903" s="576"/>
      <c r="Y903" s="576"/>
      <c r="Z903" s="576"/>
    </row>
    <row r="904" spans="1:26" ht="18.75">
      <c r="A904" s="680"/>
      <c r="B904" s="680"/>
      <c r="C904" s="680"/>
      <c r="D904" s="910"/>
      <c r="E904" s="680"/>
      <c r="F904" s="680"/>
      <c r="G904" s="680"/>
      <c r="H904" s="911"/>
      <c r="I904" s="912"/>
      <c r="J904" s="912"/>
      <c r="K904" s="913"/>
      <c r="L904" s="913"/>
      <c r="M904" s="913"/>
      <c r="N904" s="913"/>
      <c r="O904" s="913"/>
      <c r="P904" s="913"/>
      <c r="Q904" s="576"/>
      <c r="R904" s="576"/>
      <c r="S904" s="576"/>
      <c r="T904" s="576"/>
      <c r="U904" s="576"/>
      <c r="V904" s="576"/>
      <c r="W904" s="576"/>
      <c r="X904" s="576"/>
      <c r="Y904" s="576"/>
      <c r="Z904" s="576"/>
    </row>
    <row r="905" spans="1:26" ht="18.75">
      <c r="A905" s="680"/>
      <c r="B905" s="680"/>
      <c r="C905" s="680"/>
      <c r="D905" s="910"/>
      <c r="E905" s="680"/>
      <c r="F905" s="680"/>
      <c r="G905" s="680"/>
      <c r="H905" s="911"/>
      <c r="I905" s="912"/>
      <c r="J905" s="912"/>
      <c r="K905" s="913"/>
      <c r="L905" s="913"/>
      <c r="M905" s="913"/>
      <c r="N905" s="913"/>
      <c r="O905" s="913"/>
      <c r="P905" s="913"/>
      <c r="Q905" s="576"/>
      <c r="R905" s="576"/>
      <c r="S905" s="576"/>
      <c r="T905" s="576"/>
      <c r="U905" s="576"/>
      <c r="V905" s="576"/>
      <c r="W905" s="576"/>
      <c r="X905" s="576"/>
      <c r="Y905" s="576"/>
      <c r="Z905" s="576"/>
    </row>
    <row r="906" spans="1:26" ht="18.75">
      <c r="A906" s="680"/>
      <c r="B906" s="680"/>
      <c r="C906" s="680"/>
      <c r="D906" s="910"/>
      <c r="E906" s="680"/>
      <c r="F906" s="680"/>
      <c r="G906" s="680"/>
      <c r="H906" s="911"/>
      <c r="I906" s="912"/>
      <c r="J906" s="912"/>
      <c r="K906" s="913"/>
      <c r="L906" s="913"/>
      <c r="M906" s="913"/>
      <c r="N906" s="913"/>
      <c r="O906" s="913"/>
      <c r="P906" s="913"/>
      <c r="Q906" s="576"/>
      <c r="R906" s="576"/>
      <c r="S906" s="576"/>
      <c r="T906" s="576"/>
      <c r="U906" s="576"/>
      <c r="V906" s="576"/>
      <c r="W906" s="576"/>
      <c r="X906" s="576"/>
      <c r="Y906" s="576"/>
      <c r="Z906" s="576"/>
    </row>
    <row r="907" spans="1:26" ht="18.75">
      <c r="A907" s="680"/>
      <c r="B907" s="680"/>
      <c r="C907" s="680"/>
      <c r="D907" s="910"/>
      <c r="E907" s="680"/>
      <c r="F907" s="680"/>
      <c r="G907" s="680"/>
      <c r="H907" s="911"/>
      <c r="I907" s="912"/>
      <c r="J907" s="912"/>
      <c r="K907" s="913"/>
      <c r="L907" s="913"/>
      <c r="M907" s="913"/>
      <c r="N907" s="913"/>
      <c r="O907" s="913"/>
      <c r="P907" s="913"/>
      <c r="Q907" s="576"/>
      <c r="R907" s="576"/>
      <c r="S907" s="576"/>
      <c r="T907" s="576"/>
      <c r="U907" s="576"/>
      <c r="V907" s="576"/>
      <c r="W907" s="576"/>
      <c r="X907" s="576"/>
      <c r="Y907" s="576"/>
      <c r="Z907" s="576"/>
    </row>
    <row r="908" spans="1:26" ht="18.75">
      <c r="A908" s="680"/>
      <c r="B908" s="680"/>
      <c r="C908" s="680"/>
      <c r="D908" s="910"/>
      <c r="E908" s="680"/>
      <c r="F908" s="680"/>
      <c r="G908" s="680"/>
      <c r="H908" s="911"/>
      <c r="I908" s="912"/>
      <c r="J908" s="912"/>
      <c r="K908" s="913"/>
      <c r="L908" s="913"/>
      <c r="M908" s="913"/>
      <c r="N908" s="913"/>
      <c r="O908" s="913"/>
      <c r="P908" s="913"/>
      <c r="Q908" s="576"/>
      <c r="R908" s="576"/>
      <c r="S908" s="576"/>
      <c r="T908" s="576"/>
      <c r="U908" s="576"/>
      <c r="V908" s="576"/>
      <c r="W908" s="576"/>
      <c r="X908" s="576"/>
      <c r="Y908" s="576"/>
      <c r="Z908" s="576"/>
    </row>
    <row r="909" spans="1:26" ht="18.75">
      <c r="A909" s="680"/>
      <c r="B909" s="680"/>
      <c r="C909" s="680"/>
      <c r="D909" s="910"/>
      <c r="E909" s="680"/>
      <c r="F909" s="680"/>
      <c r="G909" s="680"/>
      <c r="H909" s="911"/>
      <c r="I909" s="912"/>
      <c r="J909" s="912"/>
      <c r="K909" s="913"/>
      <c r="L909" s="913"/>
      <c r="M909" s="913"/>
      <c r="N909" s="913"/>
      <c r="O909" s="913"/>
      <c r="P909" s="913"/>
      <c r="Q909" s="576"/>
      <c r="R909" s="576"/>
      <c r="S909" s="576"/>
      <c r="T909" s="576"/>
      <c r="U909" s="576"/>
      <c r="V909" s="576"/>
      <c r="W909" s="576"/>
      <c r="X909" s="576"/>
      <c r="Y909" s="576"/>
      <c r="Z909" s="576"/>
    </row>
    <row r="910" spans="1:26" ht="18.75">
      <c r="A910" s="680"/>
      <c r="B910" s="680"/>
      <c r="C910" s="680"/>
      <c r="D910" s="910"/>
      <c r="E910" s="680"/>
      <c r="F910" s="680"/>
      <c r="G910" s="680"/>
      <c r="H910" s="911"/>
      <c r="I910" s="912"/>
      <c r="J910" s="912"/>
      <c r="K910" s="913"/>
      <c r="L910" s="913"/>
      <c r="M910" s="913"/>
      <c r="N910" s="913"/>
      <c r="O910" s="913"/>
      <c r="P910" s="913"/>
      <c r="Q910" s="576"/>
      <c r="R910" s="576"/>
      <c r="S910" s="576"/>
      <c r="T910" s="576"/>
      <c r="U910" s="576"/>
      <c r="V910" s="576"/>
      <c r="W910" s="576"/>
      <c r="X910" s="576"/>
      <c r="Y910" s="576"/>
      <c r="Z910" s="576"/>
    </row>
    <row r="911" spans="1:26" ht="18.75">
      <c r="A911" s="680"/>
      <c r="B911" s="680"/>
      <c r="C911" s="680"/>
      <c r="D911" s="910"/>
      <c r="E911" s="680"/>
      <c r="F911" s="680"/>
      <c r="G911" s="680"/>
      <c r="H911" s="911"/>
      <c r="I911" s="912"/>
      <c r="J911" s="912"/>
      <c r="K911" s="913"/>
      <c r="L911" s="913"/>
      <c r="M911" s="913"/>
      <c r="N911" s="913"/>
      <c r="O911" s="913"/>
      <c r="P911" s="913"/>
      <c r="Q911" s="576"/>
      <c r="R911" s="576"/>
      <c r="S911" s="576"/>
      <c r="T911" s="576"/>
      <c r="U911" s="576"/>
      <c r="V911" s="576"/>
      <c r="W911" s="576"/>
      <c r="X911" s="576"/>
      <c r="Y911" s="576"/>
      <c r="Z911" s="576"/>
    </row>
    <row r="912" spans="1:26" ht="18.75">
      <c r="A912" s="680"/>
      <c r="B912" s="680"/>
      <c r="C912" s="680"/>
      <c r="D912" s="910"/>
      <c r="E912" s="680"/>
      <c r="F912" s="680"/>
      <c r="G912" s="680"/>
      <c r="H912" s="911"/>
      <c r="I912" s="912"/>
      <c r="J912" s="912"/>
      <c r="K912" s="913"/>
      <c r="L912" s="913"/>
      <c r="M912" s="913"/>
      <c r="N912" s="913"/>
      <c r="O912" s="913"/>
      <c r="P912" s="913"/>
      <c r="Q912" s="576"/>
      <c r="R912" s="576"/>
      <c r="S912" s="576"/>
      <c r="T912" s="576"/>
      <c r="U912" s="576"/>
      <c r="V912" s="576"/>
      <c r="W912" s="576"/>
      <c r="X912" s="576"/>
      <c r="Y912" s="576"/>
      <c r="Z912" s="576"/>
    </row>
    <row r="913" spans="1:26" ht="18.75">
      <c r="A913" s="680"/>
      <c r="B913" s="680"/>
      <c r="C913" s="680"/>
      <c r="D913" s="910"/>
      <c r="E913" s="680"/>
      <c r="F913" s="680"/>
      <c r="G913" s="680"/>
      <c r="H913" s="911"/>
      <c r="I913" s="912"/>
      <c r="J913" s="912"/>
      <c r="K913" s="913"/>
      <c r="L913" s="913"/>
      <c r="M913" s="913"/>
      <c r="N913" s="913"/>
      <c r="O913" s="913"/>
      <c r="P913" s="913"/>
      <c r="Q913" s="576"/>
      <c r="R913" s="576"/>
      <c r="S913" s="576"/>
      <c r="T913" s="576"/>
      <c r="U913" s="576"/>
      <c r="V913" s="576"/>
      <c r="W913" s="576"/>
      <c r="X913" s="576"/>
      <c r="Y913" s="576"/>
      <c r="Z913" s="576"/>
    </row>
    <row r="914" spans="1:26" ht="18.75">
      <c r="A914" s="680"/>
      <c r="B914" s="680"/>
      <c r="C914" s="680"/>
      <c r="D914" s="910"/>
      <c r="E914" s="680"/>
      <c r="F914" s="680"/>
      <c r="G914" s="680"/>
      <c r="H914" s="911"/>
      <c r="I914" s="912"/>
      <c r="J914" s="912"/>
      <c r="K914" s="913"/>
      <c r="L914" s="913"/>
      <c r="M914" s="913"/>
      <c r="N914" s="913"/>
      <c r="O914" s="913"/>
      <c r="P914" s="913"/>
      <c r="Q914" s="576"/>
      <c r="R914" s="576"/>
      <c r="S914" s="576"/>
      <c r="T914" s="576"/>
      <c r="U914" s="576"/>
      <c r="V914" s="576"/>
      <c r="W914" s="576"/>
      <c r="X914" s="576"/>
      <c r="Y914" s="576"/>
      <c r="Z914" s="576"/>
    </row>
    <row r="915" spans="1:26" ht="18.75">
      <c r="A915" s="680"/>
      <c r="B915" s="680"/>
      <c r="C915" s="680"/>
      <c r="D915" s="910"/>
      <c r="E915" s="680"/>
      <c r="F915" s="680"/>
      <c r="G915" s="680"/>
      <c r="H915" s="911"/>
      <c r="I915" s="912"/>
      <c r="J915" s="912"/>
      <c r="K915" s="913"/>
      <c r="L915" s="913"/>
      <c r="M915" s="913"/>
      <c r="N915" s="913"/>
      <c r="O915" s="913"/>
      <c r="P915" s="913"/>
      <c r="Q915" s="576"/>
      <c r="R915" s="576"/>
      <c r="S915" s="576"/>
      <c r="T915" s="576"/>
      <c r="U915" s="576"/>
      <c r="V915" s="576"/>
      <c r="W915" s="576"/>
      <c r="X915" s="576"/>
      <c r="Y915" s="576"/>
      <c r="Z915" s="576"/>
    </row>
    <row r="916" spans="1:26" ht="18.75">
      <c r="A916" s="680"/>
      <c r="B916" s="680"/>
      <c r="C916" s="680"/>
      <c r="D916" s="910"/>
      <c r="E916" s="680"/>
      <c r="F916" s="680"/>
      <c r="G916" s="680"/>
      <c r="H916" s="911"/>
      <c r="I916" s="912"/>
      <c r="J916" s="912"/>
      <c r="K916" s="913"/>
      <c r="L916" s="913"/>
      <c r="M916" s="913"/>
      <c r="N916" s="913"/>
      <c r="O916" s="913"/>
      <c r="P916" s="913"/>
      <c r="Q916" s="576"/>
      <c r="R916" s="576"/>
      <c r="S916" s="576"/>
      <c r="T916" s="576"/>
      <c r="U916" s="576"/>
      <c r="V916" s="576"/>
      <c r="W916" s="576"/>
      <c r="X916" s="576"/>
      <c r="Y916" s="576"/>
      <c r="Z916" s="576"/>
    </row>
    <row r="917" spans="1:26" ht="18.75">
      <c r="A917" s="680"/>
      <c r="B917" s="680"/>
      <c r="C917" s="680"/>
      <c r="D917" s="910"/>
      <c r="E917" s="680"/>
      <c r="F917" s="680"/>
      <c r="G917" s="680"/>
      <c r="H917" s="911"/>
      <c r="I917" s="912"/>
      <c r="J917" s="912"/>
      <c r="K917" s="913"/>
      <c r="L917" s="913"/>
      <c r="M917" s="913"/>
      <c r="N917" s="913"/>
      <c r="O917" s="913"/>
      <c r="P917" s="913"/>
      <c r="Q917" s="576"/>
      <c r="R917" s="576"/>
      <c r="S917" s="576"/>
      <c r="T917" s="576"/>
      <c r="U917" s="576"/>
      <c r="V917" s="576"/>
      <c r="W917" s="576"/>
      <c r="X917" s="576"/>
      <c r="Y917" s="576"/>
      <c r="Z917" s="576"/>
    </row>
    <row r="918" spans="1:26" ht="18.75">
      <c r="A918" s="680"/>
      <c r="B918" s="680"/>
      <c r="C918" s="680"/>
      <c r="D918" s="910"/>
      <c r="E918" s="680"/>
      <c r="F918" s="680"/>
      <c r="G918" s="680"/>
      <c r="H918" s="911"/>
      <c r="I918" s="912"/>
      <c r="J918" s="912"/>
      <c r="K918" s="913"/>
      <c r="L918" s="913"/>
      <c r="M918" s="913"/>
      <c r="N918" s="913"/>
      <c r="O918" s="913"/>
      <c r="P918" s="913"/>
      <c r="Q918" s="576"/>
      <c r="R918" s="576"/>
      <c r="S918" s="576"/>
      <c r="T918" s="576"/>
      <c r="U918" s="576"/>
      <c r="V918" s="576"/>
      <c r="W918" s="576"/>
      <c r="X918" s="576"/>
      <c r="Y918" s="576"/>
      <c r="Z918" s="576"/>
    </row>
    <row r="919" spans="1:26" ht="18.75">
      <c r="A919" s="680"/>
      <c r="B919" s="680"/>
      <c r="C919" s="680"/>
      <c r="D919" s="910"/>
      <c r="E919" s="680"/>
      <c r="F919" s="680"/>
      <c r="G919" s="680"/>
      <c r="H919" s="911"/>
      <c r="I919" s="912"/>
      <c r="J919" s="912"/>
      <c r="K919" s="913"/>
      <c r="L919" s="913"/>
      <c r="M919" s="913"/>
      <c r="N919" s="913"/>
      <c r="O919" s="913"/>
      <c r="P919" s="913"/>
      <c r="Q919" s="576"/>
      <c r="R919" s="576"/>
      <c r="S919" s="576"/>
      <c r="T919" s="576"/>
      <c r="U919" s="576"/>
      <c r="V919" s="576"/>
      <c r="W919" s="576"/>
      <c r="X919" s="576"/>
      <c r="Y919" s="576"/>
      <c r="Z919" s="576"/>
    </row>
    <row r="920" spans="1:26" ht="18.75">
      <c r="A920" s="680"/>
      <c r="B920" s="680"/>
      <c r="C920" s="680"/>
      <c r="D920" s="910"/>
      <c r="E920" s="680"/>
      <c r="F920" s="680"/>
      <c r="G920" s="680"/>
      <c r="H920" s="911"/>
      <c r="I920" s="912"/>
      <c r="J920" s="912"/>
      <c r="K920" s="913"/>
      <c r="L920" s="913"/>
      <c r="M920" s="913"/>
      <c r="N920" s="913"/>
      <c r="O920" s="913"/>
      <c r="P920" s="913"/>
      <c r="Q920" s="576"/>
      <c r="R920" s="576"/>
      <c r="S920" s="576"/>
      <c r="T920" s="576"/>
      <c r="U920" s="576"/>
      <c r="V920" s="576"/>
      <c r="W920" s="576"/>
      <c r="X920" s="576"/>
      <c r="Y920" s="576"/>
      <c r="Z920" s="576"/>
    </row>
    <row r="921" spans="1:26" ht="18.75">
      <c r="A921" s="680"/>
      <c r="B921" s="680"/>
      <c r="C921" s="680"/>
      <c r="D921" s="910"/>
      <c r="E921" s="680"/>
      <c r="F921" s="680"/>
      <c r="G921" s="680"/>
      <c r="H921" s="911"/>
      <c r="I921" s="912"/>
      <c r="J921" s="912"/>
      <c r="K921" s="913"/>
      <c r="L921" s="913"/>
      <c r="M921" s="913"/>
      <c r="N921" s="913"/>
      <c r="O921" s="913"/>
      <c r="P921" s="913"/>
      <c r="Q921" s="576"/>
      <c r="R921" s="576"/>
      <c r="S921" s="576"/>
      <c r="T921" s="576"/>
      <c r="U921" s="576"/>
      <c r="V921" s="576"/>
      <c r="W921" s="576"/>
      <c r="X921" s="576"/>
      <c r="Y921" s="576"/>
      <c r="Z921" s="576"/>
    </row>
    <row r="922" spans="1:26" ht="18.75">
      <c r="A922" s="680"/>
      <c r="B922" s="680"/>
      <c r="C922" s="680"/>
      <c r="D922" s="910"/>
      <c r="E922" s="680"/>
      <c r="F922" s="680"/>
      <c r="G922" s="680"/>
      <c r="H922" s="911"/>
      <c r="I922" s="912"/>
      <c r="J922" s="912"/>
      <c r="K922" s="913"/>
      <c r="L922" s="913"/>
      <c r="M922" s="913"/>
      <c r="N922" s="913"/>
      <c r="O922" s="913"/>
      <c r="P922" s="913"/>
      <c r="Q922" s="576"/>
      <c r="R922" s="576"/>
      <c r="S922" s="576"/>
      <c r="T922" s="576"/>
      <c r="U922" s="576"/>
      <c r="V922" s="576"/>
      <c r="W922" s="576"/>
      <c r="X922" s="576"/>
      <c r="Y922" s="576"/>
      <c r="Z922" s="576"/>
    </row>
    <row r="923" spans="1:26" ht="18.75">
      <c r="A923" s="680"/>
      <c r="B923" s="680"/>
      <c r="C923" s="680"/>
      <c r="D923" s="910"/>
      <c r="E923" s="680"/>
      <c r="F923" s="680"/>
      <c r="G923" s="680"/>
      <c r="H923" s="911"/>
      <c r="I923" s="912"/>
      <c r="J923" s="912"/>
      <c r="K923" s="913"/>
      <c r="L923" s="913"/>
      <c r="M923" s="913"/>
      <c r="N923" s="913"/>
      <c r="O923" s="913"/>
      <c r="P923" s="913"/>
      <c r="Q923" s="576"/>
      <c r="R923" s="576"/>
      <c r="S923" s="576"/>
      <c r="T923" s="576"/>
      <c r="U923" s="576"/>
      <c r="V923" s="576"/>
      <c r="W923" s="576"/>
      <c r="X923" s="576"/>
      <c r="Y923" s="576"/>
      <c r="Z923" s="576"/>
    </row>
    <row r="924" spans="1:26" ht="18.75">
      <c r="A924" s="680"/>
      <c r="B924" s="680"/>
      <c r="C924" s="680"/>
      <c r="D924" s="910"/>
      <c r="E924" s="680"/>
      <c r="F924" s="680"/>
      <c r="G924" s="680"/>
      <c r="H924" s="911"/>
      <c r="I924" s="912"/>
      <c r="J924" s="912"/>
      <c r="K924" s="913"/>
      <c r="L924" s="913"/>
      <c r="M924" s="913"/>
      <c r="N924" s="913"/>
      <c r="O924" s="913"/>
      <c r="P924" s="913"/>
      <c r="Q924" s="576"/>
      <c r="R924" s="576"/>
      <c r="S924" s="576"/>
      <c r="T924" s="576"/>
      <c r="U924" s="576"/>
      <c r="V924" s="576"/>
      <c r="W924" s="576"/>
      <c r="X924" s="576"/>
      <c r="Y924" s="576"/>
      <c r="Z924" s="576"/>
    </row>
    <row r="925" spans="1:26" ht="18.75">
      <c r="A925" s="680"/>
      <c r="B925" s="680"/>
      <c r="C925" s="680"/>
      <c r="D925" s="910"/>
      <c r="E925" s="680"/>
      <c r="F925" s="680"/>
      <c r="G925" s="680"/>
      <c r="H925" s="911"/>
      <c r="I925" s="912"/>
      <c r="J925" s="912"/>
      <c r="K925" s="913"/>
      <c r="L925" s="913"/>
      <c r="M925" s="913"/>
      <c r="N925" s="913"/>
      <c r="O925" s="913"/>
      <c r="P925" s="913"/>
      <c r="Q925" s="576"/>
      <c r="R925" s="576"/>
      <c r="S925" s="576"/>
      <c r="T925" s="576"/>
      <c r="U925" s="576"/>
      <c r="V925" s="576"/>
      <c r="W925" s="576"/>
      <c r="X925" s="576"/>
      <c r="Y925" s="576"/>
      <c r="Z925" s="576"/>
    </row>
    <row r="926" spans="1:26" ht="18.75">
      <c r="A926" s="680"/>
      <c r="B926" s="680"/>
      <c r="C926" s="680"/>
      <c r="D926" s="910"/>
      <c r="E926" s="680"/>
      <c r="F926" s="680"/>
      <c r="G926" s="680"/>
      <c r="H926" s="911"/>
      <c r="I926" s="912"/>
      <c r="J926" s="912"/>
      <c r="K926" s="913"/>
      <c r="L926" s="913"/>
      <c r="M926" s="913"/>
      <c r="N926" s="913"/>
      <c r="O926" s="913"/>
      <c r="P926" s="913"/>
      <c r="Q926" s="576"/>
      <c r="R926" s="576"/>
      <c r="S926" s="576"/>
      <c r="T926" s="576"/>
      <c r="U926" s="576"/>
      <c r="V926" s="576"/>
      <c r="W926" s="576"/>
      <c r="X926" s="576"/>
      <c r="Y926" s="576"/>
      <c r="Z926" s="576"/>
    </row>
    <row r="927" spans="1:26" ht="18.75">
      <c r="A927" s="680"/>
      <c r="B927" s="680"/>
      <c r="C927" s="680"/>
      <c r="D927" s="910"/>
      <c r="E927" s="680"/>
      <c r="F927" s="680"/>
      <c r="G927" s="680"/>
      <c r="H927" s="911"/>
      <c r="I927" s="912"/>
      <c r="J927" s="912"/>
      <c r="K927" s="913"/>
      <c r="L927" s="913"/>
      <c r="M927" s="913"/>
      <c r="N927" s="913"/>
      <c r="O927" s="913"/>
      <c r="P927" s="913"/>
      <c r="Q927" s="576"/>
      <c r="R927" s="576"/>
      <c r="S927" s="576"/>
      <c r="T927" s="576"/>
      <c r="U927" s="576"/>
      <c r="V927" s="576"/>
      <c r="W927" s="576"/>
      <c r="X927" s="576"/>
      <c r="Y927" s="576"/>
      <c r="Z927" s="576"/>
    </row>
    <row r="928" spans="1:26" ht="18.75">
      <c r="A928" s="680"/>
      <c r="B928" s="680"/>
      <c r="C928" s="680"/>
      <c r="D928" s="910"/>
      <c r="E928" s="680"/>
      <c r="F928" s="680"/>
      <c r="G928" s="680"/>
      <c r="H928" s="911"/>
      <c r="I928" s="912"/>
      <c r="J928" s="912"/>
      <c r="K928" s="913"/>
      <c r="L928" s="913"/>
      <c r="M928" s="913"/>
      <c r="N928" s="913"/>
      <c r="O928" s="913"/>
      <c r="P928" s="913"/>
      <c r="Q928" s="576"/>
      <c r="R928" s="576"/>
      <c r="S928" s="576"/>
      <c r="T928" s="576"/>
      <c r="U928" s="576"/>
      <c r="V928" s="576"/>
      <c r="W928" s="576"/>
      <c r="X928" s="576"/>
      <c r="Y928" s="576"/>
      <c r="Z928" s="576"/>
    </row>
    <row r="929" spans="1:26" ht="18.75">
      <c r="A929" s="680"/>
      <c r="B929" s="680"/>
      <c r="C929" s="680"/>
      <c r="D929" s="910"/>
      <c r="E929" s="680"/>
      <c r="F929" s="680"/>
      <c r="G929" s="680"/>
      <c r="H929" s="911"/>
      <c r="I929" s="912"/>
      <c r="J929" s="912"/>
      <c r="K929" s="913"/>
      <c r="L929" s="913"/>
      <c r="M929" s="913"/>
      <c r="N929" s="913"/>
      <c r="O929" s="913"/>
      <c r="P929" s="913"/>
      <c r="Q929" s="576"/>
      <c r="R929" s="576"/>
      <c r="S929" s="576"/>
      <c r="T929" s="576"/>
      <c r="U929" s="576"/>
      <c r="V929" s="576"/>
      <c r="W929" s="576"/>
      <c r="X929" s="576"/>
      <c r="Y929" s="576"/>
      <c r="Z929" s="576"/>
    </row>
    <row r="930" spans="1:26" ht="18.75">
      <c r="A930" s="680"/>
      <c r="B930" s="680"/>
      <c r="C930" s="680"/>
      <c r="D930" s="910"/>
      <c r="E930" s="680"/>
      <c r="F930" s="680"/>
      <c r="G930" s="680"/>
      <c r="H930" s="911"/>
      <c r="I930" s="912"/>
      <c r="J930" s="912"/>
      <c r="K930" s="913"/>
      <c r="L930" s="913"/>
      <c r="M930" s="913"/>
      <c r="N930" s="913"/>
      <c r="O930" s="913"/>
      <c r="P930" s="913"/>
      <c r="Q930" s="576"/>
      <c r="R930" s="576"/>
      <c r="S930" s="576"/>
      <c r="T930" s="576"/>
      <c r="U930" s="576"/>
      <c r="V930" s="576"/>
      <c r="W930" s="576"/>
      <c r="X930" s="576"/>
      <c r="Y930" s="576"/>
      <c r="Z930" s="576"/>
    </row>
    <row r="931" spans="1:26" ht="18.75">
      <c r="A931" s="680"/>
      <c r="B931" s="680"/>
      <c r="C931" s="680"/>
      <c r="D931" s="910"/>
      <c r="E931" s="680"/>
      <c r="F931" s="680"/>
      <c r="G931" s="680"/>
      <c r="H931" s="911"/>
      <c r="I931" s="912"/>
      <c r="J931" s="912"/>
      <c r="K931" s="913"/>
      <c r="L931" s="913"/>
      <c r="M931" s="913"/>
      <c r="N931" s="913"/>
      <c r="O931" s="913"/>
      <c r="P931" s="913"/>
      <c r="Q931" s="576"/>
      <c r="R931" s="576"/>
      <c r="S931" s="576"/>
      <c r="T931" s="576"/>
      <c r="U931" s="576"/>
      <c r="V931" s="576"/>
      <c r="W931" s="576"/>
      <c r="X931" s="576"/>
      <c r="Y931" s="576"/>
      <c r="Z931" s="576"/>
    </row>
    <row r="932" spans="1:26" ht="18.75">
      <c r="A932" s="680"/>
      <c r="B932" s="680"/>
      <c r="C932" s="680"/>
      <c r="D932" s="910"/>
      <c r="E932" s="680"/>
      <c r="F932" s="680"/>
      <c r="G932" s="680"/>
      <c r="H932" s="911"/>
      <c r="I932" s="912"/>
      <c r="J932" s="912"/>
      <c r="K932" s="913"/>
      <c r="L932" s="913"/>
      <c r="M932" s="913"/>
      <c r="N932" s="913"/>
      <c r="O932" s="913"/>
      <c r="P932" s="913"/>
      <c r="Q932" s="576"/>
      <c r="R932" s="576"/>
      <c r="S932" s="576"/>
      <c r="T932" s="576"/>
      <c r="U932" s="576"/>
      <c r="V932" s="576"/>
      <c r="W932" s="576"/>
      <c r="X932" s="576"/>
      <c r="Y932" s="576"/>
      <c r="Z932" s="576"/>
    </row>
    <row r="933" spans="1:26" ht="18.75">
      <c r="A933" s="680"/>
      <c r="B933" s="680"/>
      <c r="C933" s="680"/>
      <c r="D933" s="910"/>
      <c r="E933" s="680"/>
      <c r="F933" s="680"/>
      <c r="G933" s="680"/>
      <c r="H933" s="911"/>
      <c r="I933" s="912"/>
      <c r="J933" s="912"/>
      <c r="K933" s="913"/>
      <c r="L933" s="913"/>
      <c r="M933" s="913"/>
      <c r="N933" s="913"/>
      <c r="O933" s="913"/>
      <c r="P933" s="913"/>
      <c r="Q933" s="576"/>
      <c r="R933" s="576"/>
      <c r="S933" s="576"/>
      <c r="T933" s="576"/>
      <c r="U933" s="576"/>
      <c r="V933" s="576"/>
      <c r="W933" s="576"/>
      <c r="X933" s="576"/>
      <c r="Y933" s="576"/>
      <c r="Z933" s="576"/>
    </row>
    <row r="934" spans="1:26" ht="18.75">
      <c r="A934" s="680"/>
      <c r="B934" s="680"/>
      <c r="C934" s="680"/>
      <c r="D934" s="910"/>
      <c r="E934" s="680"/>
      <c r="F934" s="680"/>
      <c r="G934" s="680"/>
      <c r="H934" s="911"/>
      <c r="I934" s="912"/>
      <c r="J934" s="912"/>
      <c r="K934" s="913"/>
      <c r="L934" s="913"/>
      <c r="M934" s="913"/>
      <c r="N934" s="913"/>
      <c r="O934" s="913"/>
      <c r="P934" s="913"/>
      <c r="Q934" s="576"/>
      <c r="R934" s="576"/>
      <c r="S934" s="576"/>
      <c r="T934" s="576"/>
      <c r="U934" s="576"/>
      <c r="V934" s="576"/>
      <c r="W934" s="576"/>
      <c r="X934" s="576"/>
      <c r="Y934" s="576"/>
      <c r="Z934" s="576"/>
    </row>
    <row r="935" spans="1:26" ht="18.75">
      <c r="A935" s="680"/>
      <c r="B935" s="680"/>
      <c r="C935" s="680"/>
      <c r="D935" s="910"/>
      <c r="E935" s="680"/>
      <c r="F935" s="680"/>
      <c r="G935" s="680"/>
      <c r="H935" s="911"/>
      <c r="I935" s="912"/>
      <c r="J935" s="912"/>
      <c r="K935" s="913"/>
      <c r="L935" s="913"/>
      <c r="M935" s="913"/>
      <c r="N935" s="913"/>
      <c r="O935" s="913"/>
      <c r="P935" s="913"/>
      <c r="Q935" s="576"/>
      <c r="R935" s="576"/>
      <c r="S935" s="576"/>
      <c r="T935" s="576"/>
      <c r="U935" s="576"/>
      <c r="V935" s="576"/>
      <c r="W935" s="576"/>
      <c r="X935" s="576"/>
      <c r="Y935" s="576"/>
      <c r="Z935" s="576"/>
    </row>
    <row r="936" spans="1:26" ht="18.75">
      <c r="A936" s="680"/>
      <c r="B936" s="680"/>
      <c r="C936" s="680"/>
      <c r="D936" s="910"/>
      <c r="E936" s="680"/>
      <c r="F936" s="680"/>
      <c r="G936" s="680"/>
      <c r="H936" s="911"/>
      <c r="I936" s="912"/>
      <c r="J936" s="912"/>
      <c r="K936" s="913"/>
      <c r="L936" s="913"/>
      <c r="M936" s="913"/>
      <c r="N936" s="913"/>
      <c r="O936" s="913"/>
      <c r="P936" s="913"/>
      <c r="Q936" s="576"/>
      <c r="R936" s="576"/>
      <c r="S936" s="576"/>
      <c r="T936" s="576"/>
      <c r="U936" s="576"/>
      <c r="V936" s="576"/>
      <c r="W936" s="576"/>
      <c r="X936" s="576"/>
      <c r="Y936" s="576"/>
      <c r="Z936" s="576"/>
    </row>
    <row r="937" spans="1:26" ht="18.75">
      <c r="A937" s="680"/>
      <c r="B937" s="680"/>
      <c r="C937" s="680"/>
      <c r="D937" s="910"/>
      <c r="E937" s="680"/>
      <c r="F937" s="680"/>
      <c r="G937" s="680"/>
      <c r="H937" s="911"/>
      <c r="I937" s="912"/>
      <c r="J937" s="912"/>
      <c r="K937" s="913"/>
      <c r="L937" s="913"/>
      <c r="M937" s="913"/>
      <c r="N937" s="913"/>
      <c r="O937" s="913"/>
      <c r="P937" s="913"/>
      <c r="Q937" s="576"/>
      <c r="R937" s="576"/>
      <c r="S937" s="576"/>
      <c r="T937" s="576"/>
      <c r="U937" s="576"/>
      <c r="V937" s="576"/>
      <c r="W937" s="576"/>
      <c r="X937" s="576"/>
      <c r="Y937" s="576"/>
      <c r="Z937" s="576"/>
    </row>
    <row r="938" spans="1:26" ht="18.75">
      <c r="A938" s="680"/>
      <c r="B938" s="680"/>
      <c r="C938" s="680"/>
      <c r="D938" s="910"/>
      <c r="E938" s="680"/>
      <c r="F938" s="680"/>
      <c r="G938" s="680"/>
      <c r="H938" s="911"/>
      <c r="I938" s="912"/>
      <c r="J938" s="912"/>
      <c r="K938" s="913"/>
      <c r="L938" s="913"/>
      <c r="M938" s="913"/>
      <c r="N938" s="913"/>
      <c r="O938" s="913"/>
      <c r="P938" s="913"/>
      <c r="Q938" s="576"/>
      <c r="R938" s="576"/>
      <c r="S938" s="576"/>
      <c r="T938" s="576"/>
      <c r="U938" s="576"/>
      <c r="V938" s="576"/>
      <c r="W938" s="576"/>
      <c r="X938" s="576"/>
      <c r="Y938" s="576"/>
      <c r="Z938" s="576"/>
    </row>
    <row r="939" spans="1:26" ht="18.75">
      <c r="A939" s="680"/>
      <c r="B939" s="680"/>
      <c r="C939" s="680"/>
      <c r="D939" s="910"/>
      <c r="E939" s="680"/>
      <c r="F939" s="680"/>
      <c r="G939" s="680"/>
      <c r="H939" s="911"/>
      <c r="I939" s="912"/>
      <c r="J939" s="912"/>
      <c r="K939" s="913"/>
      <c r="L939" s="913"/>
      <c r="M939" s="913"/>
      <c r="N939" s="913"/>
      <c r="O939" s="913"/>
      <c r="P939" s="913"/>
      <c r="Q939" s="576"/>
      <c r="R939" s="576"/>
      <c r="S939" s="576"/>
      <c r="T939" s="576"/>
      <c r="U939" s="576"/>
      <c r="V939" s="576"/>
      <c r="W939" s="576"/>
      <c r="X939" s="576"/>
      <c r="Y939" s="576"/>
      <c r="Z939" s="576"/>
    </row>
    <row r="940" spans="1:26" ht="18.75">
      <c r="A940" s="680"/>
      <c r="B940" s="680"/>
      <c r="C940" s="680"/>
      <c r="D940" s="910"/>
      <c r="E940" s="680"/>
      <c r="F940" s="680"/>
      <c r="G940" s="680"/>
      <c r="H940" s="911"/>
      <c r="I940" s="912"/>
      <c r="J940" s="912"/>
      <c r="K940" s="913"/>
      <c r="L940" s="913"/>
      <c r="M940" s="913"/>
      <c r="N940" s="913"/>
      <c r="O940" s="913"/>
      <c r="P940" s="913"/>
      <c r="Q940" s="576"/>
      <c r="R940" s="576"/>
      <c r="S940" s="576"/>
      <c r="T940" s="576"/>
      <c r="U940" s="576"/>
      <c r="V940" s="576"/>
      <c r="W940" s="576"/>
      <c r="X940" s="576"/>
      <c r="Y940" s="576"/>
      <c r="Z940" s="576"/>
    </row>
    <row r="941" spans="1:26" ht="18.75">
      <c r="A941" s="680"/>
      <c r="B941" s="680"/>
      <c r="C941" s="680"/>
      <c r="D941" s="910"/>
      <c r="E941" s="680"/>
      <c r="F941" s="680"/>
      <c r="G941" s="680"/>
      <c r="H941" s="911"/>
      <c r="I941" s="912"/>
      <c r="J941" s="912"/>
      <c r="K941" s="913"/>
      <c r="L941" s="913"/>
      <c r="M941" s="913"/>
      <c r="N941" s="913"/>
      <c r="O941" s="913"/>
      <c r="P941" s="913"/>
      <c r="Q941" s="576"/>
      <c r="R941" s="576"/>
      <c r="S941" s="576"/>
      <c r="T941" s="576"/>
      <c r="U941" s="576"/>
      <c r="V941" s="576"/>
      <c r="W941" s="576"/>
      <c r="X941" s="576"/>
      <c r="Y941" s="576"/>
      <c r="Z941" s="576"/>
    </row>
    <row r="942" spans="1:26" ht="18.75">
      <c r="A942" s="680"/>
      <c r="B942" s="680"/>
      <c r="C942" s="680"/>
      <c r="D942" s="910"/>
      <c r="E942" s="680"/>
      <c r="F942" s="680"/>
      <c r="G942" s="680"/>
      <c r="H942" s="911"/>
      <c r="I942" s="912"/>
      <c r="J942" s="912"/>
      <c r="K942" s="913"/>
      <c r="L942" s="913"/>
      <c r="M942" s="913"/>
      <c r="N942" s="913"/>
      <c r="O942" s="913"/>
      <c r="P942" s="913"/>
      <c r="Q942" s="576"/>
      <c r="R942" s="576"/>
      <c r="S942" s="576"/>
      <c r="T942" s="576"/>
      <c r="U942" s="576"/>
      <c r="V942" s="576"/>
      <c r="W942" s="576"/>
      <c r="X942" s="576"/>
      <c r="Y942" s="576"/>
      <c r="Z942" s="576"/>
    </row>
    <row r="943" spans="1:26" ht="18.75">
      <c r="A943" s="680"/>
      <c r="B943" s="680"/>
      <c r="C943" s="680"/>
      <c r="D943" s="910"/>
      <c r="E943" s="680"/>
      <c r="F943" s="680"/>
      <c r="G943" s="680"/>
      <c r="H943" s="911"/>
      <c r="I943" s="912"/>
      <c r="J943" s="912"/>
      <c r="K943" s="913"/>
      <c r="L943" s="913"/>
      <c r="M943" s="913"/>
      <c r="N943" s="913"/>
      <c r="O943" s="913"/>
      <c r="P943" s="913"/>
      <c r="Q943" s="576"/>
      <c r="R943" s="576"/>
      <c r="S943" s="576"/>
      <c r="T943" s="576"/>
      <c r="U943" s="576"/>
      <c r="V943" s="576"/>
      <c r="W943" s="576"/>
      <c r="X943" s="576"/>
      <c r="Y943" s="576"/>
      <c r="Z943" s="576"/>
    </row>
    <row r="944" spans="1:26" ht="18.75">
      <c r="A944" s="680"/>
      <c r="B944" s="680"/>
      <c r="C944" s="680"/>
      <c r="D944" s="910"/>
      <c r="E944" s="680"/>
      <c r="F944" s="680"/>
      <c r="G944" s="680"/>
      <c r="H944" s="911"/>
      <c r="I944" s="912"/>
      <c r="J944" s="912"/>
      <c r="K944" s="913"/>
      <c r="L944" s="913"/>
      <c r="M944" s="913"/>
      <c r="N944" s="913"/>
      <c r="O944" s="913"/>
      <c r="P944" s="913"/>
      <c r="Q944" s="576"/>
      <c r="R944" s="576"/>
      <c r="S944" s="576"/>
      <c r="T944" s="576"/>
      <c r="U944" s="576"/>
      <c r="V944" s="576"/>
      <c r="W944" s="576"/>
      <c r="X944" s="576"/>
      <c r="Y944" s="576"/>
      <c r="Z944" s="576"/>
    </row>
    <row r="945" spans="1:26" ht="18.75">
      <c r="A945" s="680"/>
      <c r="B945" s="680"/>
      <c r="C945" s="680"/>
      <c r="D945" s="910"/>
      <c r="E945" s="680"/>
      <c r="F945" s="680"/>
      <c r="G945" s="680"/>
      <c r="H945" s="911"/>
      <c r="I945" s="912"/>
      <c r="J945" s="912"/>
      <c r="K945" s="913"/>
      <c r="L945" s="913"/>
      <c r="M945" s="913"/>
      <c r="N945" s="913"/>
      <c r="O945" s="913"/>
      <c r="P945" s="913"/>
      <c r="Q945" s="576"/>
      <c r="R945" s="576"/>
      <c r="S945" s="576"/>
      <c r="T945" s="576"/>
      <c r="U945" s="576"/>
      <c r="V945" s="576"/>
      <c r="W945" s="576"/>
      <c r="X945" s="576"/>
      <c r="Y945" s="576"/>
      <c r="Z945" s="576"/>
    </row>
    <row r="946" spans="1:26" ht="18.75">
      <c r="A946" s="680"/>
      <c r="B946" s="680"/>
      <c r="C946" s="680"/>
      <c r="D946" s="910"/>
      <c r="E946" s="680"/>
      <c r="F946" s="680"/>
      <c r="G946" s="680"/>
      <c r="H946" s="911"/>
      <c r="I946" s="912"/>
      <c r="J946" s="912"/>
      <c r="K946" s="913"/>
      <c r="L946" s="913"/>
      <c r="M946" s="913"/>
      <c r="N946" s="913"/>
      <c r="O946" s="913"/>
      <c r="P946" s="913"/>
      <c r="Q946" s="576"/>
      <c r="R946" s="576"/>
      <c r="S946" s="576"/>
      <c r="T946" s="576"/>
      <c r="U946" s="576"/>
      <c r="V946" s="576"/>
      <c r="W946" s="576"/>
      <c r="X946" s="576"/>
      <c r="Y946" s="576"/>
      <c r="Z946" s="576"/>
    </row>
    <row r="947" spans="1:26" ht="18.75">
      <c r="A947" s="680"/>
      <c r="B947" s="680"/>
      <c r="C947" s="680"/>
      <c r="D947" s="910"/>
      <c r="E947" s="680"/>
      <c r="F947" s="680"/>
      <c r="G947" s="680"/>
      <c r="H947" s="911"/>
      <c r="I947" s="912"/>
      <c r="J947" s="912"/>
      <c r="K947" s="913"/>
      <c r="L947" s="913"/>
      <c r="M947" s="913"/>
      <c r="N947" s="913"/>
      <c r="O947" s="913"/>
      <c r="P947" s="913"/>
      <c r="Q947" s="576"/>
      <c r="R947" s="576"/>
      <c r="S947" s="576"/>
      <c r="T947" s="576"/>
      <c r="U947" s="576"/>
      <c r="V947" s="576"/>
      <c r="W947" s="576"/>
      <c r="X947" s="576"/>
      <c r="Y947" s="576"/>
      <c r="Z947" s="576"/>
    </row>
    <row r="948" spans="1:26" ht="18.75">
      <c r="A948" s="680"/>
      <c r="B948" s="680"/>
      <c r="C948" s="680"/>
      <c r="D948" s="910"/>
      <c r="E948" s="680"/>
      <c r="F948" s="680"/>
      <c r="G948" s="680"/>
      <c r="H948" s="911"/>
      <c r="I948" s="912"/>
      <c r="J948" s="912"/>
      <c r="K948" s="913"/>
      <c r="L948" s="913"/>
      <c r="M948" s="913"/>
      <c r="N948" s="913"/>
      <c r="O948" s="913"/>
      <c r="P948" s="913"/>
      <c r="Q948" s="576"/>
      <c r="R948" s="576"/>
      <c r="S948" s="576"/>
      <c r="T948" s="576"/>
      <c r="U948" s="576"/>
      <c r="V948" s="576"/>
      <c r="W948" s="576"/>
      <c r="X948" s="576"/>
      <c r="Y948" s="576"/>
      <c r="Z948" s="576"/>
    </row>
    <row r="949" spans="1:26" ht="18.75">
      <c r="A949" s="680"/>
      <c r="B949" s="680"/>
      <c r="C949" s="680"/>
      <c r="D949" s="910"/>
      <c r="E949" s="680"/>
      <c r="F949" s="680"/>
      <c r="G949" s="680"/>
      <c r="H949" s="911"/>
      <c r="I949" s="912"/>
      <c r="J949" s="912"/>
      <c r="K949" s="913"/>
      <c r="L949" s="913"/>
      <c r="M949" s="913"/>
      <c r="N949" s="913"/>
      <c r="O949" s="913"/>
      <c r="P949" s="913"/>
      <c r="Q949" s="576"/>
      <c r="R949" s="576"/>
      <c r="S949" s="576"/>
      <c r="T949" s="576"/>
      <c r="U949" s="576"/>
      <c r="V949" s="576"/>
      <c r="W949" s="576"/>
      <c r="X949" s="576"/>
      <c r="Y949" s="576"/>
      <c r="Z949" s="576"/>
    </row>
    <row r="950" spans="1:26" ht="18.75">
      <c r="A950" s="680"/>
      <c r="B950" s="680"/>
      <c r="C950" s="680"/>
      <c r="D950" s="910"/>
      <c r="E950" s="680"/>
      <c r="F950" s="680"/>
      <c r="G950" s="680"/>
      <c r="H950" s="911"/>
      <c r="I950" s="912"/>
      <c r="J950" s="912"/>
      <c r="K950" s="913"/>
      <c r="L950" s="913"/>
      <c r="M950" s="913"/>
      <c r="N950" s="913"/>
      <c r="O950" s="913"/>
      <c r="P950" s="913"/>
      <c r="Q950" s="576"/>
      <c r="R950" s="576"/>
      <c r="S950" s="576"/>
      <c r="T950" s="576"/>
      <c r="U950" s="576"/>
      <c r="V950" s="576"/>
      <c r="W950" s="576"/>
      <c r="X950" s="576"/>
      <c r="Y950" s="576"/>
      <c r="Z950" s="576"/>
    </row>
    <row r="951" spans="1:26" ht="18.75">
      <c r="A951" s="680"/>
      <c r="B951" s="680"/>
      <c r="C951" s="680"/>
      <c r="D951" s="910"/>
      <c r="E951" s="680"/>
      <c r="F951" s="680"/>
      <c r="G951" s="680"/>
      <c r="H951" s="911"/>
      <c r="I951" s="912"/>
      <c r="J951" s="912"/>
      <c r="K951" s="913"/>
      <c r="L951" s="913"/>
      <c r="M951" s="913"/>
      <c r="N951" s="913"/>
      <c r="O951" s="913"/>
      <c r="P951" s="913"/>
      <c r="Q951" s="576"/>
      <c r="R951" s="576"/>
      <c r="S951" s="576"/>
      <c r="T951" s="576"/>
      <c r="U951" s="576"/>
      <c r="V951" s="576"/>
      <c r="W951" s="576"/>
      <c r="X951" s="576"/>
      <c r="Y951" s="576"/>
      <c r="Z951" s="576"/>
    </row>
    <row r="952" spans="1:26" ht="18.75">
      <c r="A952" s="680"/>
      <c r="B952" s="680"/>
      <c r="C952" s="680"/>
      <c r="D952" s="910"/>
      <c r="E952" s="680"/>
      <c r="F952" s="680"/>
      <c r="G952" s="680"/>
      <c r="H952" s="911"/>
      <c r="I952" s="912"/>
      <c r="J952" s="912"/>
      <c r="K952" s="913"/>
      <c r="L952" s="913"/>
      <c r="M952" s="913"/>
      <c r="N952" s="913"/>
      <c r="O952" s="913"/>
      <c r="P952" s="913"/>
      <c r="Q952" s="576"/>
      <c r="R952" s="576"/>
      <c r="S952" s="576"/>
      <c r="T952" s="576"/>
      <c r="U952" s="576"/>
      <c r="V952" s="576"/>
      <c r="W952" s="576"/>
      <c r="X952" s="576"/>
      <c r="Y952" s="576"/>
      <c r="Z952" s="576"/>
    </row>
    <row r="953" spans="1:26" ht="18.75">
      <c r="A953" s="680"/>
      <c r="B953" s="680"/>
      <c r="C953" s="680"/>
      <c r="D953" s="910"/>
      <c r="E953" s="680"/>
      <c r="F953" s="680"/>
      <c r="G953" s="680"/>
      <c r="H953" s="911"/>
      <c r="I953" s="912"/>
      <c r="J953" s="912"/>
      <c r="K953" s="913"/>
      <c r="L953" s="913"/>
      <c r="M953" s="913"/>
      <c r="N953" s="913"/>
      <c r="O953" s="913"/>
      <c r="P953" s="913"/>
      <c r="Q953" s="576"/>
      <c r="R953" s="576"/>
      <c r="S953" s="576"/>
      <c r="T953" s="576"/>
      <c r="U953" s="576"/>
      <c r="V953" s="576"/>
      <c r="W953" s="576"/>
      <c r="X953" s="576"/>
      <c r="Y953" s="576"/>
      <c r="Z953" s="576"/>
    </row>
    <row r="954" spans="1:26" ht="18.75">
      <c r="A954" s="680"/>
      <c r="B954" s="680"/>
      <c r="C954" s="680"/>
      <c r="D954" s="910"/>
      <c r="E954" s="680"/>
      <c r="F954" s="680"/>
      <c r="G954" s="680"/>
      <c r="H954" s="911"/>
      <c r="I954" s="912"/>
      <c r="J954" s="912"/>
      <c r="K954" s="913"/>
      <c r="L954" s="913"/>
      <c r="M954" s="913"/>
      <c r="N954" s="913"/>
      <c r="O954" s="913"/>
      <c r="P954" s="913"/>
      <c r="Q954" s="576"/>
      <c r="R954" s="576"/>
      <c r="S954" s="576"/>
      <c r="T954" s="576"/>
      <c r="U954" s="576"/>
      <c r="V954" s="576"/>
      <c r="W954" s="576"/>
      <c r="X954" s="576"/>
      <c r="Y954" s="576"/>
      <c r="Z954" s="576"/>
    </row>
    <row r="955" spans="1:26" ht="18.75">
      <c r="A955" s="680"/>
      <c r="B955" s="680"/>
      <c r="C955" s="680"/>
      <c r="D955" s="910"/>
      <c r="E955" s="680"/>
      <c r="F955" s="680"/>
      <c r="G955" s="680"/>
      <c r="H955" s="911"/>
      <c r="I955" s="912"/>
      <c r="J955" s="912"/>
      <c r="K955" s="913"/>
      <c r="L955" s="913"/>
      <c r="M955" s="913"/>
      <c r="N955" s="913"/>
      <c r="O955" s="913"/>
      <c r="P955" s="913"/>
      <c r="Q955" s="576"/>
      <c r="R955" s="576"/>
      <c r="S955" s="576"/>
      <c r="T955" s="576"/>
      <c r="U955" s="576"/>
      <c r="V955" s="576"/>
      <c r="W955" s="576"/>
      <c r="X955" s="576"/>
      <c r="Y955" s="576"/>
      <c r="Z955" s="576"/>
    </row>
    <row r="956" spans="1:26" ht="18.75">
      <c r="A956" s="680"/>
      <c r="B956" s="680"/>
      <c r="C956" s="680"/>
      <c r="D956" s="910"/>
      <c r="E956" s="680"/>
      <c r="F956" s="680"/>
      <c r="G956" s="680"/>
      <c r="H956" s="911"/>
      <c r="I956" s="912"/>
      <c r="J956" s="912"/>
      <c r="K956" s="913"/>
      <c r="L956" s="913"/>
      <c r="M956" s="913"/>
      <c r="N956" s="913"/>
      <c r="O956" s="913"/>
      <c r="P956" s="913"/>
      <c r="Q956" s="576"/>
      <c r="R956" s="576"/>
      <c r="S956" s="576"/>
      <c r="T956" s="576"/>
      <c r="U956" s="576"/>
      <c r="V956" s="576"/>
      <c r="W956" s="576"/>
      <c r="X956" s="576"/>
      <c r="Y956" s="576"/>
      <c r="Z956" s="576"/>
    </row>
    <row r="957" spans="1:26" ht="18.75">
      <c r="A957" s="680"/>
      <c r="B957" s="680"/>
      <c r="C957" s="680"/>
      <c r="D957" s="910"/>
      <c r="E957" s="680"/>
      <c r="F957" s="680"/>
      <c r="G957" s="680"/>
      <c r="H957" s="911"/>
      <c r="I957" s="912"/>
      <c r="J957" s="912"/>
      <c r="K957" s="913"/>
      <c r="L957" s="913"/>
      <c r="M957" s="913"/>
      <c r="N957" s="913"/>
      <c r="O957" s="913"/>
      <c r="P957" s="913"/>
      <c r="Q957" s="576"/>
      <c r="R957" s="576"/>
      <c r="S957" s="576"/>
      <c r="T957" s="576"/>
      <c r="U957" s="576"/>
      <c r="V957" s="576"/>
      <c r="W957" s="576"/>
      <c r="X957" s="576"/>
      <c r="Y957" s="576"/>
      <c r="Z957" s="576"/>
    </row>
    <row r="958" spans="1:26" ht="18.75">
      <c r="A958" s="680"/>
      <c r="B958" s="680"/>
      <c r="C958" s="680"/>
      <c r="D958" s="910"/>
      <c r="E958" s="680"/>
      <c r="F958" s="680"/>
      <c r="G958" s="680"/>
      <c r="H958" s="911"/>
      <c r="I958" s="912"/>
      <c r="J958" s="912"/>
      <c r="K958" s="913"/>
      <c r="L958" s="913"/>
      <c r="M958" s="913"/>
      <c r="N958" s="913"/>
      <c r="O958" s="913"/>
      <c r="P958" s="913"/>
      <c r="Q958" s="576"/>
      <c r="R958" s="576"/>
      <c r="S958" s="576"/>
      <c r="T958" s="576"/>
      <c r="U958" s="576"/>
      <c r="V958" s="576"/>
      <c r="W958" s="576"/>
      <c r="X958" s="576"/>
      <c r="Y958" s="576"/>
      <c r="Z958" s="576"/>
    </row>
    <row r="959" spans="1:26" ht="18.75">
      <c r="A959" s="680"/>
      <c r="B959" s="680"/>
      <c r="C959" s="680"/>
      <c r="D959" s="910"/>
      <c r="E959" s="680"/>
      <c r="F959" s="680"/>
      <c r="G959" s="680"/>
      <c r="H959" s="911"/>
      <c r="I959" s="912"/>
      <c r="J959" s="912"/>
      <c r="K959" s="913"/>
      <c r="L959" s="913"/>
      <c r="M959" s="913"/>
      <c r="N959" s="913"/>
      <c r="O959" s="913"/>
      <c r="P959" s="913"/>
      <c r="Q959" s="576"/>
      <c r="R959" s="576"/>
      <c r="S959" s="576"/>
      <c r="T959" s="576"/>
      <c r="U959" s="576"/>
      <c r="V959" s="576"/>
      <c r="W959" s="576"/>
      <c r="X959" s="576"/>
      <c r="Y959" s="576"/>
      <c r="Z959" s="576"/>
    </row>
    <row r="960" spans="1:26" ht="18.75">
      <c r="A960" s="680"/>
      <c r="B960" s="680"/>
      <c r="C960" s="680"/>
      <c r="D960" s="910"/>
      <c r="E960" s="680"/>
      <c r="F960" s="680"/>
      <c r="G960" s="680"/>
      <c r="H960" s="911"/>
      <c r="I960" s="912"/>
      <c r="J960" s="912"/>
      <c r="K960" s="913"/>
      <c r="L960" s="913"/>
      <c r="M960" s="913"/>
      <c r="N960" s="913"/>
      <c r="O960" s="913"/>
      <c r="P960" s="913"/>
      <c r="Q960" s="576"/>
      <c r="R960" s="576"/>
      <c r="S960" s="576"/>
      <c r="T960" s="576"/>
      <c r="U960" s="576"/>
      <c r="V960" s="576"/>
      <c r="W960" s="576"/>
      <c r="X960" s="576"/>
      <c r="Y960" s="576"/>
      <c r="Z960" s="576"/>
    </row>
    <row r="961" spans="1:26" ht="18.75">
      <c r="A961" s="680"/>
      <c r="B961" s="680"/>
      <c r="C961" s="680"/>
      <c r="D961" s="910"/>
      <c r="E961" s="680"/>
      <c r="F961" s="680"/>
      <c r="G961" s="680"/>
      <c r="H961" s="911"/>
      <c r="I961" s="912"/>
      <c r="J961" s="912"/>
      <c r="K961" s="913"/>
      <c r="L961" s="913"/>
      <c r="M961" s="913"/>
      <c r="N961" s="913"/>
      <c r="O961" s="913"/>
      <c r="P961" s="913"/>
      <c r="Q961" s="576"/>
      <c r="R961" s="576"/>
      <c r="S961" s="576"/>
      <c r="T961" s="576"/>
      <c r="U961" s="576"/>
      <c r="V961" s="576"/>
      <c r="W961" s="576"/>
      <c r="X961" s="576"/>
      <c r="Y961" s="576"/>
      <c r="Z961" s="576"/>
    </row>
    <row r="962" spans="1:26" ht="18.75">
      <c r="A962" s="680"/>
      <c r="B962" s="680"/>
      <c r="C962" s="680"/>
      <c r="D962" s="910"/>
      <c r="E962" s="680"/>
      <c r="F962" s="680"/>
      <c r="G962" s="680"/>
      <c r="H962" s="911"/>
      <c r="I962" s="912"/>
      <c r="J962" s="912"/>
      <c r="K962" s="913"/>
      <c r="L962" s="913"/>
      <c r="M962" s="913"/>
      <c r="N962" s="913"/>
      <c r="O962" s="913"/>
      <c r="P962" s="913"/>
      <c r="Q962" s="576"/>
      <c r="R962" s="576"/>
      <c r="S962" s="576"/>
      <c r="T962" s="576"/>
      <c r="U962" s="576"/>
      <c r="V962" s="576"/>
      <c r="W962" s="576"/>
      <c r="X962" s="576"/>
      <c r="Y962" s="576"/>
      <c r="Z962" s="576"/>
    </row>
    <row r="963" spans="1:26" ht="18.75">
      <c r="A963" s="680"/>
      <c r="B963" s="680"/>
      <c r="C963" s="680"/>
      <c r="D963" s="910"/>
      <c r="E963" s="680"/>
      <c r="F963" s="680"/>
      <c r="G963" s="680"/>
      <c r="H963" s="911"/>
      <c r="I963" s="912"/>
      <c r="J963" s="912"/>
      <c r="K963" s="913"/>
      <c r="L963" s="913"/>
      <c r="M963" s="913"/>
      <c r="N963" s="913"/>
      <c r="O963" s="913"/>
      <c r="P963" s="913"/>
      <c r="Q963" s="576"/>
      <c r="R963" s="576"/>
      <c r="S963" s="576"/>
      <c r="T963" s="576"/>
      <c r="U963" s="576"/>
      <c r="V963" s="576"/>
      <c r="W963" s="576"/>
      <c r="X963" s="576"/>
      <c r="Y963" s="576"/>
      <c r="Z963" s="576"/>
    </row>
    <row r="964" spans="1:26" ht="18.75">
      <c r="A964" s="680"/>
      <c r="B964" s="680"/>
      <c r="C964" s="680"/>
      <c r="D964" s="910"/>
      <c r="E964" s="680"/>
      <c r="F964" s="680"/>
      <c r="G964" s="680"/>
      <c r="H964" s="911"/>
      <c r="I964" s="912"/>
      <c r="J964" s="912"/>
      <c r="K964" s="913"/>
      <c r="L964" s="913"/>
      <c r="M964" s="913"/>
      <c r="N964" s="913"/>
      <c r="O964" s="913"/>
      <c r="P964" s="913"/>
      <c r="Q964" s="576"/>
      <c r="R964" s="576"/>
      <c r="S964" s="576"/>
      <c r="T964" s="576"/>
      <c r="U964" s="576"/>
      <c r="V964" s="576"/>
      <c r="W964" s="576"/>
      <c r="X964" s="576"/>
      <c r="Y964" s="576"/>
      <c r="Z964" s="576"/>
    </row>
    <row r="965" spans="1:26" ht="18.75">
      <c r="A965" s="680"/>
      <c r="B965" s="680"/>
      <c r="C965" s="680"/>
      <c r="D965" s="910"/>
      <c r="E965" s="680"/>
      <c r="F965" s="680"/>
      <c r="G965" s="680"/>
      <c r="H965" s="911"/>
      <c r="I965" s="912"/>
      <c r="J965" s="912"/>
      <c r="K965" s="913"/>
      <c r="L965" s="913"/>
      <c r="M965" s="913"/>
      <c r="N965" s="913"/>
      <c r="O965" s="913"/>
      <c r="P965" s="913"/>
      <c r="Q965" s="576"/>
      <c r="R965" s="576"/>
      <c r="S965" s="576"/>
      <c r="T965" s="576"/>
      <c r="U965" s="576"/>
      <c r="V965" s="576"/>
      <c r="W965" s="576"/>
      <c r="X965" s="576"/>
      <c r="Y965" s="576"/>
      <c r="Z965" s="576"/>
    </row>
    <row r="966" spans="1:26" ht="18.75">
      <c r="A966" s="680"/>
      <c r="B966" s="680"/>
      <c r="C966" s="680"/>
      <c r="D966" s="910"/>
      <c r="E966" s="680"/>
      <c r="F966" s="680"/>
      <c r="G966" s="680"/>
      <c r="H966" s="911"/>
      <c r="I966" s="912"/>
      <c r="J966" s="912"/>
      <c r="K966" s="913"/>
      <c r="L966" s="913"/>
      <c r="M966" s="913"/>
      <c r="N966" s="913"/>
      <c r="O966" s="913"/>
      <c r="P966" s="913"/>
      <c r="Q966" s="576"/>
      <c r="R966" s="576"/>
      <c r="S966" s="576"/>
      <c r="T966" s="576"/>
      <c r="U966" s="576"/>
      <c r="V966" s="576"/>
      <c r="W966" s="576"/>
      <c r="X966" s="576"/>
      <c r="Y966" s="576"/>
      <c r="Z966" s="576"/>
    </row>
    <row r="967" spans="1:26" ht="18.75">
      <c r="A967" s="680"/>
      <c r="B967" s="680"/>
      <c r="C967" s="680"/>
      <c r="D967" s="910"/>
      <c r="E967" s="680"/>
      <c r="F967" s="680"/>
      <c r="G967" s="680"/>
      <c r="H967" s="911"/>
      <c r="I967" s="912"/>
      <c r="J967" s="912"/>
      <c r="K967" s="913"/>
      <c r="L967" s="913"/>
      <c r="M967" s="913"/>
      <c r="N967" s="913"/>
      <c r="O967" s="913"/>
      <c r="P967" s="913"/>
      <c r="Q967" s="576"/>
      <c r="R967" s="576"/>
      <c r="S967" s="576"/>
      <c r="T967" s="576"/>
      <c r="U967" s="576"/>
      <c r="V967" s="576"/>
      <c r="W967" s="576"/>
      <c r="X967" s="576"/>
      <c r="Y967" s="576"/>
      <c r="Z967" s="576"/>
    </row>
    <row r="968" spans="1:26" ht="18.75">
      <c r="A968" s="680"/>
      <c r="B968" s="680"/>
      <c r="C968" s="680"/>
      <c r="D968" s="910"/>
      <c r="E968" s="680"/>
      <c r="F968" s="680"/>
      <c r="G968" s="680"/>
      <c r="H968" s="911"/>
      <c r="I968" s="912"/>
      <c r="J968" s="912"/>
      <c r="K968" s="913"/>
      <c r="L968" s="913"/>
      <c r="M968" s="913"/>
      <c r="N968" s="913"/>
      <c r="O968" s="913"/>
      <c r="P968" s="913"/>
      <c r="Q968" s="576"/>
      <c r="R968" s="576"/>
      <c r="S968" s="576"/>
      <c r="T968" s="576"/>
      <c r="U968" s="576"/>
      <c r="V968" s="576"/>
      <c r="W968" s="576"/>
      <c r="X968" s="576"/>
      <c r="Y968" s="576"/>
      <c r="Z968" s="576"/>
    </row>
    <row r="969" spans="1:26" ht="18.75">
      <c r="A969" s="680"/>
      <c r="B969" s="680"/>
      <c r="C969" s="680"/>
      <c r="D969" s="910"/>
      <c r="E969" s="680"/>
      <c r="F969" s="680"/>
      <c r="G969" s="680"/>
      <c r="H969" s="911"/>
      <c r="I969" s="912"/>
      <c r="J969" s="912"/>
      <c r="K969" s="913"/>
      <c r="L969" s="913"/>
      <c r="M969" s="913"/>
      <c r="N969" s="913"/>
      <c r="O969" s="913"/>
      <c r="P969" s="913"/>
      <c r="Q969" s="576"/>
      <c r="R969" s="576"/>
      <c r="S969" s="576"/>
      <c r="T969" s="576"/>
      <c r="U969" s="576"/>
      <c r="V969" s="576"/>
      <c r="W969" s="576"/>
      <c r="X969" s="576"/>
      <c r="Y969" s="576"/>
      <c r="Z969" s="576"/>
    </row>
    <row r="970" spans="1:26" ht="18.75">
      <c r="A970" s="680"/>
      <c r="B970" s="680"/>
      <c r="C970" s="680"/>
      <c r="D970" s="910"/>
      <c r="E970" s="680"/>
      <c r="F970" s="680"/>
      <c r="G970" s="680"/>
      <c r="H970" s="911"/>
      <c r="I970" s="912"/>
      <c r="J970" s="912"/>
      <c r="K970" s="913"/>
      <c r="L970" s="913"/>
      <c r="M970" s="913"/>
      <c r="N970" s="913"/>
      <c r="O970" s="913"/>
      <c r="P970" s="913"/>
      <c r="Q970" s="576"/>
      <c r="R970" s="576"/>
      <c r="S970" s="576"/>
      <c r="T970" s="576"/>
      <c r="U970" s="576"/>
      <c r="V970" s="576"/>
      <c r="W970" s="576"/>
      <c r="X970" s="576"/>
      <c r="Y970" s="576"/>
      <c r="Z970" s="576"/>
    </row>
    <row r="971" spans="1:26" ht="18.75">
      <c r="A971" s="680"/>
      <c r="B971" s="680"/>
      <c r="C971" s="680"/>
      <c r="D971" s="910"/>
      <c r="E971" s="680"/>
      <c r="F971" s="680"/>
      <c r="G971" s="680"/>
      <c r="H971" s="911"/>
      <c r="I971" s="912"/>
      <c r="J971" s="912"/>
      <c r="K971" s="913"/>
      <c r="L971" s="913"/>
      <c r="M971" s="913"/>
      <c r="N971" s="913"/>
      <c r="O971" s="913"/>
      <c r="P971" s="913"/>
      <c r="Q971" s="576"/>
      <c r="R971" s="576"/>
      <c r="S971" s="576"/>
      <c r="T971" s="576"/>
      <c r="U971" s="576"/>
      <c r="V971" s="576"/>
      <c r="W971" s="576"/>
      <c r="X971" s="576"/>
      <c r="Y971" s="576"/>
      <c r="Z971" s="576"/>
    </row>
    <row r="972" spans="1:26" ht="18.75">
      <c r="A972" s="680"/>
      <c r="B972" s="680"/>
      <c r="C972" s="680"/>
      <c r="D972" s="910"/>
      <c r="E972" s="680"/>
      <c r="F972" s="680"/>
      <c r="G972" s="680"/>
      <c r="H972" s="911"/>
      <c r="I972" s="912"/>
      <c r="J972" s="912"/>
      <c r="K972" s="913"/>
      <c r="L972" s="913"/>
      <c r="M972" s="913"/>
      <c r="N972" s="913"/>
      <c r="O972" s="913"/>
      <c r="P972" s="913"/>
      <c r="Q972" s="576"/>
      <c r="R972" s="576"/>
      <c r="S972" s="576"/>
      <c r="T972" s="576"/>
      <c r="U972" s="576"/>
      <c r="V972" s="576"/>
      <c r="W972" s="576"/>
      <c r="X972" s="576"/>
      <c r="Y972" s="576"/>
      <c r="Z972" s="576"/>
    </row>
    <row r="973" spans="1:26" ht="18.75">
      <c r="A973" s="680"/>
      <c r="B973" s="680"/>
      <c r="C973" s="680"/>
      <c r="D973" s="910"/>
      <c r="E973" s="680"/>
      <c r="F973" s="680"/>
      <c r="G973" s="680"/>
      <c r="H973" s="911"/>
      <c r="I973" s="912"/>
      <c r="J973" s="912"/>
      <c r="K973" s="913"/>
      <c r="L973" s="913"/>
      <c r="M973" s="913"/>
      <c r="N973" s="913"/>
      <c r="O973" s="913"/>
      <c r="P973" s="913"/>
      <c r="Q973" s="576"/>
      <c r="R973" s="576"/>
      <c r="S973" s="576"/>
      <c r="T973" s="576"/>
      <c r="U973" s="576"/>
      <c r="V973" s="576"/>
      <c r="W973" s="576"/>
      <c r="X973" s="576"/>
      <c r="Y973" s="576"/>
      <c r="Z973" s="576"/>
    </row>
    <row r="974" spans="1:26" ht="18.75">
      <c r="A974" s="680"/>
      <c r="B974" s="680"/>
      <c r="C974" s="680"/>
      <c r="D974" s="910"/>
      <c r="E974" s="680"/>
      <c r="F974" s="680"/>
      <c r="G974" s="680"/>
      <c r="H974" s="911"/>
      <c r="I974" s="912"/>
      <c r="J974" s="912"/>
      <c r="K974" s="913"/>
      <c r="L974" s="913"/>
      <c r="M974" s="913"/>
      <c r="N974" s="913"/>
      <c r="O974" s="913"/>
      <c r="P974" s="913"/>
      <c r="Q974" s="576"/>
      <c r="R974" s="576"/>
      <c r="S974" s="576"/>
      <c r="T974" s="576"/>
      <c r="U974" s="576"/>
      <c r="V974" s="576"/>
      <c r="W974" s="576"/>
      <c r="X974" s="576"/>
      <c r="Y974" s="576"/>
      <c r="Z974" s="576"/>
    </row>
    <row r="975" spans="1:26" ht="18.75">
      <c r="A975" s="680"/>
      <c r="B975" s="680"/>
      <c r="C975" s="680"/>
      <c r="D975" s="910"/>
      <c r="E975" s="680"/>
      <c r="F975" s="680"/>
      <c r="G975" s="680"/>
      <c r="H975" s="911"/>
      <c r="I975" s="912"/>
      <c r="J975" s="912"/>
      <c r="K975" s="913"/>
      <c r="L975" s="913"/>
      <c r="M975" s="913"/>
      <c r="N975" s="913"/>
      <c r="O975" s="913"/>
      <c r="P975" s="913"/>
      <c r="Q975" s="576"/>
      <c r="R975" s="576"/>
      <c r="S975" s="576"/>
      <c r="T975" s="576"/>
      <c r="U975" s="576"/>
      <c r="V975" s="576"/>
      <c r="W975" s="576"/>
      <c r="X975" s="576"/>
      <c r="Y975" s="576"/>
      <c r="Z975" s="576"/>
    </row>
    <row r="976" spans="1:26" ht="18.75">
      <c r="A976" s="680"/>
      <c r="B976" s="680"/>
      <c r="C976" s="680"/>
      <c r="D976" s="910"/>
      <c r="E976" s="680"/>
      <c r="F976" s="680"/>
      <c r="G976" s="680"/>
      <c r="H976" s="911"/>
      <c r="I976" s="912"/>
      <c r="J976" s="912"/>
      <c r="K976" s="913"/>
      <c r="L976" s="913"/>
      <c r="M976" s="913"/>
      <c r="N976" s="913"/>
      <c r="O976" s="913"/>
      <c r="P976" s="913"/>
      <c r="Q976" s="576"/>
      <c r="R976" s="576"/>
      <c r="S976" s="576"/>
      <c r="T976" s="576"/>
      <c r="U976" s="576"/>
      <c r="V976" s="576"/>
      <c r="W976" s="576"/>
      <c r="X976" s="576"/>
      <c r="Y976" s="576"/>
      <c r="Z976" s="576"/>
    </row>
    <row r="977" spans="1:26" ht="18.75">
      <c r="A977" s="680"/>
      <c r="B977" s="680"/>
      <c r="C977" s="680"/>
      <c r="D977" s="910"/>
      <c r="E977" s="680"/>
      <c r="F977" s="680"/>
      <c r="G977" s="680"/>
      <c r="H977" s="911"/>
      <c r="I977" s="912"/>
      <c r="J977" s="912"/>
      <c r="K977" s="913"/>
      <c r="L977" s="913"/>
      <c r="M977" s="913"/>
      <c r="N977" s="913"/>
      <c r="O977" s="913"/>
      <c r="P977" s="913"/>
      <c r="Q977" s="576"/>
      <c r="R977" s="576"/>
      <c r="S977" s="576"/>
      <c r="T977" s="576"/>
      <c r="U977" s="576"/>
      <c r="V977" s="576"/>
      <c r="W977" s="576"/>
      <c r="X977" s="576"/>
      <c r="Y977" s="576"/>
      <c r="Z977" s="576"/>
    </row>
    <row r="978" spans="1:26" ht="18.75">
      <c r="A978" s="680"/>
      <c r="B978" s="680"/>
      <c r="C978" s="680"/>
      <c r="D978" s="910"/>
      <c r="E978" s="680"/>
      <c r="F978" s="680"/>
      <c r="G978" s="680"/>
      <c r="H978" s="911"/>
      <c r="I978" s="912"/>
      <c r="J978" s="912"/>
      <c r="K978" s="913"/>
      <c r="L978" s="913"/>
      <c r="M978" s="913"/>
      <c r="N978" s="913"/>
      <c r="O978" s="913"/>
      <c r="P978" s="913"/>
      <c r="Q978" s="576"/>
      <c r="R978" s="576"/>
      <c r="S978" s="576"/>
      <c r="T978" s="576"/>
      <c r="U978" s="576"/>
      <c r="V978" s="576"/>
      <c r="W978" s="576"/>
      <c r="X978" s="576"/>
      <c r="Y978" s="576"/>
      <c r="Z978" s="576"/>
    </row>
    <row r="979" spans="1:26" ht="18.75">
      <c r="A979" s="680"/>
      <c r="B979" s="680"/>
      <c r="C979" s="680"/>
      <c r="D979" s="910"/>
      <c r="E979" s="680"/>
      <c r="F979" s="680"/>
      <c r="G979" s="680"/>
      <c r="H979" s="911"/>
      <c r="I979" s="912"/>
      <c r="J979" s="912"/>
      <c r="K979" s="913"/>
      <c r="L979" s="913"/>
      <c r="M979" s="913"/>
      <c r="N979" s="913"/>
      <c r="O979" s="913"/>
      <c r="P979" s="913"/>
      <c r="Q979" s="576"/>
      <c r="R979" s="576"/>
      <c r="S979" s="576"/>
      <c r="T979" s="576"/>
      <c r="U979" s="576"/>
      <c r="V979" s="576"/>
      <c r="W979" s="576"/>
      <c r="X979" s="576"/>
      <c r="Y979" s="576"/>
      <c r="Z979" s="576"/>
    </row>
    <row r="980" spans="1:26" ht="18.75">
      <c r="A980" s="680"/>
      <c r="B980" s="680"/>
      <c r="C980" s="680"/>
      <c r="D980" s="910"/>
      <c r="E980" s="680"/>
      <c r="F980" s="680"/>
      <c r="G980" s="680"/>
      <c r="H980" s="911"/>
      <c r="I980" s="912"/>
      <c r="J980" s="912"/>
      <c r="K980" s="913"/>
      <c r="L980" s="913"/>
      <c r="M980" s="913"/>
      <c r="N980" s="913"/>
      <c r="O980" s="913"/>
      <c r="P980" s="913"/>
      <c r="Q980" s="576"/>
      <c r="R980" s="576"/>
      <c r="S980" s="576"/>
      <c r="T980" s="576"/>
      <c r="U980" s="576"/>
      <c r="V980" s="576"/>
      <c r="W980" s="576"/>
      <c r="X980" s="576"/>
      <c r="Y980" s="576"/>
      <c r="Z980" s="576"/>
    </row>
    <row r="981" spans="1:26" ht="18.75">
      <c r="A981" s="680"/>
      <c r="B981" s="680"/>
      <c r="C981" s="680"/>
      <c r="D981" s="910"/>
      <c r="E981" s="680"/>
      <c r="F981" s="680"/>
      <c r="G981" s="680"/>
      <c r="H981" s="911"/>
      <c r="I981" s="912"/>
      <c r="J981" s="912"/>
      <c r="K981" s="913"/>
      <c r="L981" s="913"/>
      <c r="M981" s="913"/>
      <c r="N981" s="913"/>
      <c r="O981" s="913"/>
      <c r="P981" s="913"/>
      <c r="Q981" s="576"/>
      <c r="R981" s="576"/>
      <c r="S981" s="576"/>
      <c r="T981" s="576"/>
      <c r="U981" s="576"/>
      <c r="V981" s="576"/>
      <c r="W981" s="576"/>
      <c r="X981" s="576"/>
      <c r="Y981" s="576"/>
      <c r="Z981" s="576"/>
    </row>
    <row r="982" spans="1:26" ht="18.75">
      <c r="A982" s="680"/>
      <c r="B982" s="680"/>
      <c r="C982" s="680"/>
      <c r="D982" s="910"/>
      <c r="E982" s="680"/>
      <c r="F982" s="680"/>
      <c r="G982" s="680"/>
      <c r="H982" s="911"/>
      <c r="I982" s="912"/>
      <c r="J982" s="912"/>
      <c r="K982" s="913"/>
      <c r="L982" s="913"/>
      <c r="M982" s="913"/>
      <c r="N982" s="913"/>
      <c r="O982" s="913"/>
      <c r="P982" s="913"/>
      <c r="Q982" s="576"/>
      <c r="R982" s="576"/>
      <c r="S982" s="576"/>
      <c r="T982" s="576"/>
      <c r="U982" s="576"/>
      <c r="V982" s="576"/>
      <c r="W982" s="576"/>
      <c r="X982" s="576"/>
      <c r="Y982" s="576"/>
      <c r="Z982" s="576"/>
    </row>
    <row r="983" spans="1:26" ht="18.75">
      <c r="A983" s="680"/>
      <c r="B983" s="680"/>
      <c r="C983" s="680"/>
      <c r="D983" s="910"/>
      <c r="E983" s="680"/>
      <c r="F983" s="680"/>
      <c r="G983" s="680"/>
      <c r="H983" s="911"/>
      <c r="I983" s="912"/>
      <c r="J983" s="912"/>
      <c r="K983" s="913"/>
      <c r="L983" s="913"/>
      <c r="M983" s="913"/>
      <c r="N983" s="913"/>
      <c r="O983" s="913"/>
      <c r="P983" s="913"/>
      <c r="Q983" s="576"/>
      <c r="R983" s="576"/>
      <c r="S983" s="576"/>
      <c r="T983" s="576"/>
      <c r="U983" s="576"/>
      <c r="V983" s="576"/>
      <c r="W983" s="576"/>
      <c r="X983" s="576"/>
      <c r="Y983" s="576"/>
      <c r="Z983" s="576"/>
    </row>
    <row r="984" spans="1:26" ht="18.75">
      <c r="A984" s="680"/>
      <c r="B984" s="680"/>
      <c r="C984" s="680"/>
      <c r="D984" s="910"/>
      <c r="E984" s="680"/>
      <c r="F984" s="680"/>
      <c r="G984" s="680"/>
      <c r="H984" s="911"/>
      <c r="I984" s="912"/>
      <c r="J984" s="912"/>
      <c r="K984" s="913"/>
      <c r="L984" s="913"/>
      <c r="M984" s="913"/>
      <c r="N984" s="913"/>
      <c r="O984" s="913"/>
      <c r="P984" s="913"/>
      <c r="Q984" s="576"/>
      <c r="R984" s="576"/>
      <c r="S984" s="576"/>
      <c r="T984" s="576"/>
      <c r="U984" s="576"/>
      <c r="V984" s="576"/>
      <c r="W984" s="576"/>
      <c r="X984" s="576"/>
      <c r="Y984" s="576"/>
      <c r="Z984" s="576"/>
    </row>
    <row r="985" spans="1:26" ht="18.75">
      <c r="A985" s="680"/>
      <c r="B985" s="680"/>
      <c r="C985" s="680"/>
      <c r="D985" s="910"/>
      <c r="E985" s="680"/>
      <c r="F985" s="680"/>
      <c r="G985" s="680"/>
      <c r="H985" s="911"/>
      <c r="I985" s="912"/>
      <c r="J985" s="912"/>
      <c r="K985" s="913"/>
      <c r="L985" s="913"/>
      <c r="M985" s="913"/>
      <c r="N985" s="913"/>
      <c r="O985" s="913"/>
      <c r="P985" s="913"/>
      <c r="Q985" s="576"/>
      <c r="R985" s="576"/>
      <c r="S985" s="576"/>
      <c r="T985" s="576"/>
      <c r="U985" s="576"/>
      <c r="V985" s="576"/>
      <c r="W985" s="576"/>
      <c r="X985" s="576"/>
      <c r="Y985" s="576"/>
      <c r="Z985" s="576"/>
    </row>
    <row r="986" spans="1:26" ht="18.75">
      <c r="A986" s="680"/>
      <c r="B986" s="680"/>
      <c r="C986" s="680"/>
      <c r="D986" s="910"/>
      <c r="E986" s="680"/>
      <c r="F986" s="680"/>
      <c r="G986" s="680"/>
      <c r="H986" s="911"/>
      <c r="I986" s="912"/>
      <c r="J986" s="912"/>
      <c r="K986" s="913"/>
      <c r="L986" s="913"/>
      <c r="M986" s="913"/>
      <c r="N986" s="913"/>
      <c r="O986" s="913"/>
      <c r="P986" s="913"/>
      <c r="Q986" s="576"/>
      <c r="R986" s="576"/>
      <c r="S986" s="576"/>
      <c r="T986" s="576"/>
      <c r="U986" s="576"/>
      <c r="V986" s="576"/>
      <c r="W986" s="576"/>
      <c r="X986" s="576"/>
      <c r="Y986" s="576"/>
      <c r="Z986" s="576"/>
    </row>
    <row r="987" spans="1:26" ht="18.75">
      <c r="A987" s="680"/>
      <c r="B987" s="680"/>
      <c r="C987" s="680"/>
      <c r="D987" s="910"/>
      <c r="E987" s="680"/>
      <c r="F987" s="680"/>
      <c r="G987" s="680"/>
      <c r="H987" s="911"/>
      <c r="I987" s="912"/>
      <c r="J987" s="912"/>
      <c r="K987" s="913"/>
      <c r="L987" s="913"/>
      <c r="M987" s="913"/>
      <c r="N987" s="913"/>
      <c r="O987" s="913"/>
      <c r="P987" s="913"/>
      <c r="Q987" s="576"/>
      <c r="R987" s="576"/>
      <c r="S987" s="576"/>
      <c r="T987" s="576"/>
      <c r="U987" s="576"/>
      <c r="V987" s="576"/>
      <c r="W987" s="576"/>
      <c r="X987" s="576"/>
      <c r="Y987" s="576"/>
      <c r="Z987" s="576"/>
    </row>
    <row r="988" spans="1:26" ht="18.75">
      <c r="A988" s="680"/>
      <c r="B988" s="680"/>
      <c r="C988" s="680"/>
      <c r="D988" s="910"/>
      <c r="E988" s="680"/>
      <c r="F988" s="680"/>
      <c r="G988" s="680"/>
      <c r="H988" s="911"/>
      <c r="I988" s="912"/>
      <c r="J988" s="912"/>
      <c r="K988" s="913"/>
      <c r="L988" s="913"/>
      <c r="M988" s="913"/>
      <c r="N988" s="913"/>
      <c r="O988" s="913"/>
      <c r="P988" s="913"/>
      <c r="Q988" s="576"/>
      <c r="R988" s="576"/>
      <c r="S988" s="576"/>
      <c r="T988" s="576"/>
      <c r="U988" s="576"/>
      <c r="V988" s="576"/>
      <c r="W988" s="576"/>
      <c r="X988" s="576"/>
      <c r="Y988" s="576"/>
      <c r="Z988" s="576"/>
    </row>
    <row r="989" spans="1:26" ht="18.75">
      <c r="A989" s="680"/>
      <c r="B989" s="680"/>
      <c r="C989" s="680"/>
      <c r="D989" s="910"/>
      <c r="E989" s="680"/>
      <c r="F989" s="680"/>
      <c r="G989" s="680"/>
      <c r="H989" s="911"/>
      <c r="I989" s="912"/>
      <c r="J989" s="912"/>
      <c r="K989" s="913"/>
      <c r="L989" s="913"/>
      <c r="M989" s="913"/>
      <c r="N989" s="913"/>
      <c r="O989" s="913"/>
      <c r="P989" s="913"/>
      <c r="Q989" s="576"/>
      <c r="R989" s="576"/>
      <c r="S989" s="576"/>
      <c r="T989" s="576"/>
      <c r="U989" s="576"/>
      <c r="V989" s="576"/>
      <c r="W989" s="576"/>
      <c r="X989" s="576"/>
      <c r="Y989" s="576"/>
      <c r="Z989" s="576"/>
    </row>
    <row r="990" spans="1:26" ht="18.75">
      <c r="A990" s="680"/>
      <c r="B990" s="680"/>
      <c r="C990" s="680"/>
      <c r="D990" s="910"/>
      <c r="E990" s="680"/>
      <c r="F990" s="680"/>
      <c r="G990" s="680"/>
      <c r="H990" s="911"/>
      <c r="I990" s="912"/>
      <c r="J990" s="912"/>
      <c r="K990" s="913"/>
      <c r="L990" s="913"/>
      <c r="M990" s="913"/>
      <c r="N990" s="913"/>
      <c r="O990" s="913"/>
      <c r="P990" s="913"/>
      <c r="Q990" s="576"/>
      <c r="R990" s="576"/>
      <c r="S990" s="576"/>
      <c r="T990" s="576"/>
      <c r="U990" s="576"/>
      <c r="V990" s="576"/>
      <c r="W990" s="576"/>
      <c r="X990" s="576"/>
      <c r="Y990" s="576"/>
      <c r="Z990" s="576"/>
    </row>
    <row r="991" spans="1:26" ht="18.75">
      <c r="A991" s="680"/>
      <c r="B991" s="680"/>
      <c r="C991" s="680"/>
      <c r="D991" s="910"/>
      <c r="E991" s="680"/>
      <c r="F991" s="680"/>
      <c r="G991" s="680"/>
      <c r="H991" s="911"/>
      <c r="I991" s="912"/>
      <c r="J991" s="912"/>
      <c r="K991" s="913"/>
      <c r="L991" s="913"/>
      <c r="M991" s="913"/>
      <c r="N991" s="913"/>
      <c r="O991" s="913"/>
      <c r="P991" s="913"/>
      <c r="Q991" s="576"/>
      <c r="R991" s="576"/>
      <c r="S991" s="576"/>
      <c r="T991" s="576"/>
      <c r="U991" s="576"/>
      <c r="V991" s="576"/>
      <c r="W991" s="576"/>
      <c r="X991" s="576"/>
      <c r="Y991" s="576"/>
      <c r="Z991" s="576"/>
    </row>
    <row r="992" spans="1:26" ht="18.75">
      <c r="A992" s="680"/>
      <c r="B992" s="680"/>
      <c r="C992" s="680"/>
      <c r="D992" s="910"/>
      <c r="E992" s="680"/>
      <c r="F992" s="680"/>
      <c r="G992" s="680"/>
      <c r="H992" s="911"/>
      <c r="I992" s="912"/>
      <c r="J992" s="912"/>
      <c r="K992" s="913"/>
      <c r="L992" s="913"/>
      <c r="M992" s="913"/>
      <c r="N992" s="913"/>
      <c r="O992" s="913"/>
      <c r="P992" s="913"/>
      <c r="Q992" s="576"/>
      <c r="R992" s="576"/>
      <c r="S992" s="576"/>
      <c r="T992" s="576"/>
      <c r="U992" s="576"/>
      <c r="V992" s="576"/>
      <c r="W992" s="576"/>
      <c r="X992" s="576"/>
      <c r="Y992" s="576"/>
      <c r="Z992" s="576"/>
    </row>
    <row r="993" spans="1:26" ht="18.75">
      <c r="A993" s="680"/>
      <c r="B993" s="680"/>
      <c r="C993" s="680"/>
      <c r="D993" s="910"/>
      <c r="E993" s="680"/>
      <c r="F993" s="680"/>
      <c r="G993" s="680"/>
      <c r="H993" s="911"/>
      <c r="I993" s="912"/>
      <c r="J993" s="912"/>
      <c r="K993" s="913"/>
      <c r="L993" s="913"/>
      <c r="M993" s="913"/>
      <c r="N993" s="913"/>
      <c r="O993" s="913"/>
      <c r="P993" s="913"/>
      <c r="Q993" s="576"/>
      <c r="R993" s="576"/>
      <c r="S993" s="576"/>
      <c r="T993" s="576"/>
      <c r="U993" s="576"/>
      <c r="V993" s="576"/>
      <c r="W993" s="576"/>
      <c r="X993" s="576"/>
      <c r="Y993" s="576"/>
      <c r="Z993" s="576"/>
    </row>
    <row r="994" spans="1:26" ht="18.75">
      <c r="A994" s="680"/>
      <c r="B994" s="680"/>
      <c r="C994" s="680"/>
      <c r="D994" s="910"/>
      <c r="E994" s="680"/>
      <c r="F994" s="680"/>
      <c r="G994" s="680"/>
      <c r="H994" s="911"/>
      <c r="I994" s="912"/>
      <c r="J994" s="912"/>
      <c r="K994" s="913"/>
      <c r="L994" s="913"/>
      <c r="M994" s="913"/>
      <c r="N994" s="913"/>
      <c r="O994" s="913"/>
      <c r="P994" s="913"/>
      <c r="Q994" s="576"/>
      <c r="R994" s="576"/>
      <c r="S994" s="576"/>
      <c r="T994" s="576"/>
      <c r="U994" s="576"/>
      <c r="V994" s="576"/>
      <c r="W994" s="576"/>
      <c r="X994" s="576"/>
      <c r="Y994" s="576"/>
      <c r="Z994" s="576"/>
    </row>
    <row r="995" spans="1:26" ht="18.75">
      <c r="A995" s="680"/>
      <c r="B995" s="680"/>
      <c r="C995" s="680"/>
      <c r="D995" s="910"/>
      <c r="E995" s="680"/>
      <c r="F995" s="680"/>
      <c r="G995" s="680"/>
      <c r="H995" s="911"/>
      <c r="I995" s="912"/>
      <c r="J995" s="912"/>
      <c r="K995" s="913"/>
      <c r="L995" s="913"/>
      <c r="M995" s="913"/>
      <c r="N995" s="913"/>
      <c r="O995" s="913"/>
      <c r="P995" s="913"/>
      <c r="Q995" s="576"/>
      <c r="R995" s="576"/>
      <c r="S995" s="576"/>
      <c r="T995" s="576"/>
      <c r="U995" s="576"/>
      <c r="V995" s="576"/>
      <c r="W995" s="576"/>
      <c r="X995" s="576"/>
      <c r="Y995" s="576"/>
      <c r="Z995" s="576"/>
    </row>
    <row r="996" spans="1:26" ht="18.75">
      <c r="A996" s="680"/>
      <c r="B996" s="680"/>
      <c r="C996" s="680"/>
      <c r="D996" s="910"/>
      <c r="E996" s="680"/>
      <c r="F996" s="680"/>
      <c r="G996" s="680"/>
      <c r="H996" s="911"/>
      <c r="I996" s="912"/>
      <c r="J996" s="912"/>
      <c r="K996" s="913"/>
      <c r="L996" s="913"/>
      <c r="M996" s="913"/>
      <c r="N996" s="913"/>
      <c r="O996" s="913"/>
      <c r="P996" s="913"/>
      <c r="Q996" s="576"/>
      <c r="R996" s="576"/>
      <c r="S996" s="576"/>
      <c r="T996" s="576"/>
      <c r="U996" s="576"/>
      <c r="V996" s="576"/>
      <c r="W996" s="576"/>
      <c r="X996" s="576"/>
      <c r="Y996" s="576"/>
      <c r="Z996" s="576"/>
    </row>
    <row r="997" spans="1:26" ht="18.75">
      <c r="A997" s="680"/>
      <c r="B997" s="680"/>
      <c r="C997" s="680"/>
      <c r="D997" s="910"/>
      <c r="E997" s="680"/>
      <c r="F997" s="680"/>
      <c r="G997" s="680"/>
      <c r="H997" s="911"/>
      <c r="I997" s="912"/>
      <c r="J997" s="912"/>
      <c r="K997" s="913"/>
      <c r="L997" s="913"/>
      <c r="M997" s="913"/>
      <c r="N997" s="913"/>
      <c r="O997" s="913"/>
      <c r="P997" s="913"/>
      <c r="Q997" s="576"/>
      <c r="R997" s="576"/>
      <c r="S997" s="576"/>
      <c r="T997" s="576"/>
      <c r="U997" s="576"/>
      <c r="V997" s="576"/>
      <c r="W997" s="576"/>
      <c r="X997" s="576"/>
      <c r="Y997" s="576"/>
      <c r="Z997" s="576"/>
    </row>
    <row r="998" spans="1:26" ht="18.75">
      <c r="A998" s="680"/>
      <c r="B998" s="680"/>
      <c r="C998" s="680"/>
      <c r="D998" s="910"/>
      <c r="E998" s="680"/>
      <c r="F998" s="680"/>
      <c r="G998" s="680"/>
      <c r="H998" s="911"/>
      <c r="I998" s="912"/>
      <c r="J998" s="912"/>
      <c r="K998" s="913"/>
      <c r="L998" s="913"/>
      <c r="M998" s="913"/>
      <c r="N998" s="913"/>
      <c r="O998" s="913"/>
      <c r="P998" s="913"/>
      <c r="Q998" s="576"/>
      <c r="R998" s="576"/>
      <c r="S998" s="576"/>
      <c r="T998" s="576"/>
      <c r="U998" s="576"/>
      <c r="V998" s="576"/>
      <c r="W998" s="576"/>
      <c r="X998" s="576"/>
      <c r="Y998" s="576"/>
      <c r="Z998" s="576"/>
    </row>
    <row r="999" spans="1:26" ht="18.75">
      <c r="A999" s="680"/>
      <c r="B999" s="680"/>
      <c r="C999" s="680"/>
      <c r="D999" s="910"/>
      <c r="E999" s="680"/>
      <c r="F999" s="680"/>
      <c r="G999" s="680"/>
      <c r="H999" s="911"/>
      <c r="I999" s="912"/>
      <c r="J999" s="912"/>
      <c r="K999" s="913"/>
      <c r="L999" s="913"/>
      <c r="M999" s="913"/>
      <c r="N999" s="913"/>
      <c r="O999" s="913"/>
      <c r="P999" s="913"/>
      <c r="Q999" s="576"/>
      <c r="R999" s="576"/>
      <c r="S999" s="576"/>
      <c r="T999" s="576"/>
      <c r="U999" s="576"/>
      <c r="V999" s="576"/>
      <c r="W999" s="576"/>
      <c r="X999" s="576"/>
      <c r="Y999" s="576"/>
      <c r="Z999" s="576"/>
    </row>
    <row r="1000" spans="1:26" ht="18.75">
      <c r="A1000" s="680"/>
      <c r="B1000" s="680"/>
      <c r="C1000" s="680"/>
      <c r="D1000" s="910"/>
      <c r="E1000" s="680"/>
      <c r="F1000" s="680"/>
      <c r="G1000" s="680"/>
      <c r="H1000" s="911"/>
      <c r="I1000" s="912"/>
      <c r="J1000" s="912"/>
      <c r="K1000" s="913"/>
      <c r="L1000" s="913"/>
      <c r="M1000" s="913"/>
      <c r="N1000" s="913"/>
      <c r="O1000" s="913"/>
      <c r="P1000" s="913"/>
      <c r="Q1000" s="576"/>
      <c r="R1000" s="576"/>
      <c r="S1000" s="576"/>
      <c r="T1000" s="576"/>
      <c r="U1000" s="576"/>
      <c r="V1000" s="576"/>
      <c r="W1000" s="576"/>
      <c r="X1000" s="576"/>
      <c r="Y1000" s="576"/>
      <c r="Z1000" s="576"/>
    </row>
    <row r="1001" spans="1:26" ht="18.75">
      <c r="A1001" s="680"/>
      <c r="B1001" s="680"/>
      <c r="C1001" s="680"/>
      <c r="D1001" s="910"/>
      <c r="E1001" s="680"/>
      <c r="F1001" s="680"/>
      <c r="G1001" s="680"/>
      <c r="H1001" s="911"/>
      <c r="I1001" s="912"/>
      <c r="J1001" s="912"/>
      <c r="K1001" s="913"/>
      <c r="L1001" s="913"/>
      <c r="M1001" s="913"/>
      <c r="N1001" s="913"/>
      <c r="O1001" s="913"/>
      <c r="P1001" s="913"/>
      <c r="Q1001" s="576"/>
      <c r="R1001" s="576"/>
      <c r="S1001" s="576"/>
      <c r="T1001" s="576"/>
      <c r="U1001" s="576"/>
      <c r="V1001" s="576"/>
      <c r="W1001" s="576"/>
      <c r="X1001" s="576"/>
      <c r="Y1001" s="576"/>
      <c r="Z1001" s="576"/>
    </row>
    <row r="1002" spans="1:26" ht="18.75">
      <c r="A1002" s="680"/>
      <c r="B1002" s="680"/>
      <c r="C1002" s="680"/>
      <c r="D1002" s="910"/>
      <c r="E1002" s="680"/>
      <c r="F1002" s="680"/>
      <c r="G1002" s="680"/>
      <c r="H1002" s="911"/>
      <c r="I1002" s="912"/>
      <c r="J1002" s="912"/>
      <c r="K1002" s="913"/>
      <c r="L1002" s="913"/>
      <c r="M1002" s="913"/>
      <c r="N1002" s="913"/>
      <c r="O1002" s="913"/>
      <c r="P1002" s="913"/>
      <c r="Q1002" s="576"/>
      <c r="R1002" s="576"/>
      <c r="S1002" s="576"/>
      <c r="T1002" s="576"/>
      <c r="U1002" s="576"/>
      <c r="V1002" s="576"/>
      <c r="W1002" s="576"/>
      <c r="X1002" s="576"/>
      <c r="Y1002" s="576"/>
      <c r="Z1002" s="576"/>
    </row>
    <row r="1003" spans="1:26" ht="18.75">
      <c r="A1003" s="680"/>
      <c r="B1003" s="680"/>
      <c r="C1003" s="680"/>
      <c r="D1003" s="910"/>
      <c r="E1003" s="680"/>
      <c r="F1003" s="680"/>
      <c r="G1003" s="680"/>
      <c r="H1003" s="911"/>
      <c r="I1003" s="912"/>
      <c r="J1003" s="912"/>
      <c r="K1003" s="913"/>
      <c r="L1003" s="913"/>
      <c r="M1003" s="913"/>
      <c r="N1003" s="913"/>
      <c r="O1003" s="913"/>
      <c r="P1003" s="913"/>
      <c r="Q1003" s="576"/>
      <c r="R1003" s="576"/>
      <c r="S1003" s="576"/>
      <c r="T1003" s="576"/>
      <c r="U1003" s="576"/>
      <c r="V1003" s="576"/>
      <c r="W1003" s="576"/>
      <c r="X1003" s="576"/>
      <c r="Y1003" s="576"/>
      <c r="Z1003" s="576"/>
    </row>
    <row r="1004" spans="1:26" ht="18.75">
      <c r="A1004" s="680"/>
      <c r="B1004" s="680"/>
      <c r="C1004" s="680"/>
      <c r="D1004" s="910"/>
      <c r="E1004" s="680"/>
      <c r="F1004" s="680"/>
      <c r="G1004" s="680"/>
      <c r="H1004" s="911"/>
      <c r="I1004" s="912"/>
      <c r="J1004" s="912"/>
      <c r="K1004" s="913"/>
      <c r="L1004" s="913"/>
      <c r="M1004" s="913"/>
      <c r="N1004" s="913"/>
      <c r="O1004" s="913"/>
      <c r="P1004" s="913"/>
      <c r="Q1004" s="576"/>
      <c r="R1004" s="576"/>
      <c r="S1004" s="576"/>
      <c r="T1004" s="576"/>
      <c r="U1004" s="576"/>
      <c r="V1004" s="576"/>
      <c r="W1004" s="576"/>
      <c r="X1004" s="576"/>
      <c r="Y1004" s="576"/>
      <c r="Z1004" s="576"/>
    </row>
    <row r="1005" spans="1:26" ht="18.75">
      <c r="A1005" s="680"/>
      <c r="B1005" s="680"/>
      <c r="C1005" s="680"/>
      <c r="D1005" s="910"/>
      <c r="E1005" s="680"/>
      <c r="F1005" s="680"/>
      <c r="G1005" s="680"/>
      <c r="H1005" s="911"/>
      <c r="I1005" s="912"/>
      <c r="J1005" s="912"/>
      <c r="K1005" s="913"/>
      <c r="L1005" s="913"/>
      <c r="M1005" s="913"/>
      <c r="N1005" s="913"/>
      <c r="O1005" s="913"/>
      <c r="P1005" s="913"/>
      <c r="Q1005" s="576"/>
      <c r="R1005" s="576"/>
      <c r="S1005" s="576"/>
      <c r="T1005" s="576"/>
      <c r="U1005" s="576"/>
      <c r="V1005" s="576"/>
      <c r="W1005" s="576"/>
      <c r="X1005" s="576"/>
      <c r="Y1005" s="576"/>
      <c r="Z1005" s="576"/>
    </row>
    <row r="1006" spans="1:26" ht="18.75">
      <c r="A1006" s="680"/>
      <c r="B1006" s="680"/>
      <c r="C1006" s="680"/>
      <c r="D1006" s="910"/>
      <c r="E1006" s="680"/>
      <c r="F1006" s="680"/>
      <c r="G1006" s="680"/>
      <c r="H1006" s="911"/>
      <c r="I1006" s="912"/>
      <c r="J1006" s="912"/>
      <c r="K1006" s="913"/>
      <c r="L1006" s="913"/>
      <c r="M1006" s="913"/>
      <c r="N1006" s="913"/>
      <c r="O1006" s="913"/>
      <c r="P1006" s="913"/>
      <c r="Q1006" s="576"/>
      <c r="R1006" s="576"/>
      <c r="S1006" s="576"/>
      <c r="T1006" s="576"/>
      <c r="U1006" s="576"/>
      <c r="V1006" s="576"/>
      <c r="W1006" s="576"/>
      <c r="X1006" s="576"/>
      <c r="Y1006" s="576"/>
      <c r="Z1006" s="576"/>
    </row>
    <row r="1007" spans="1:26" ht="18.75">
      <c r="A1007" s="680"/>
      <c r="B1007" s="680"/>
      <c r="C1007" s="680"/>
      <c r="D1007" s="910"/>
      <c r="E1007" s="680"/>
      <c r="F1007" s="680"/>
      <c r="G1007" s="680"/>
      <c r="H1007" s="911"/>
      <c r="I1007" s="912"/>
      <c r="J1007" s="912"/>
      <c r="K1007" s="913"/>
      <c r="L1007" s="913"/>
      <c r="M1007" s="913"/>
      <c r="N1007" s="913"/>
      <c r="O1007" s="913"/>
      <c r="P1007" s="913"/>
      <c r="Q1007" s="576"/>
      <c r="R1007" s="576"/>
      <c r="S1007" s="576"/>
      <c r="T1007" s="576"/>
      <c r="U1007" s="576"/>
      <c r="V1007" s="576"/>
      <c r="W1007" s="576"/>
      <c r="X1007" s="576"/>
      <c r="Y1007" s="576"/>
      <c r="Z1007" s="576"/>
    </row>
    <row r="1008" spans="1:26" ht="18.75">
      <c r="A1008" s="680"/>
      <c r="B1008" s="680"/>
      <c r="C1008" s="680"/>
      <c r="D1008" s="910"/>
      <c r="E1008" s="680"/>
      <c r="F1008" s="680"/>
      <c r="G1008" s="680"/>
      <c r="H1008" s="911"/>
      <c r="I1008" s="912"/>
      <c r="J1008" s="912"/>
      <c r="K1008" s="913"/>
      <c r="L1008" s="913"/>
      <c r="M1008" s="913"/>
      <c r="N1008" s="913"/>
      <c r="O1008" s="913"/>
      <c r="P1008" s="913"/>
      <c r="Q1008" s="576"/>
      <c r="R1008" s="576"/>
      <c r="S1008" s="576"/>
      <c r="T1008" s="576"/>
      <c r="U1008" s="576"/>
      <c r="V1008" s="576"/>
      <c r="W1008" s="576"/>
      <c r="X1008" s="576"/>
      <c r="Y1008" s="576"/>
      <c r="Z1008" s="576"/>
    </row>
    <row r="1009" spans="1:26" ht="18.75">
      <c r="A1009" s="680"/>
      <c r="B1009" s="680"/>
      <c r="C1009" s="680"/>
      <c r="D1009" s="910"/>
      <c r="E1009" s="680"/>
      <c r="F1009" s="680"/>
      <c r="G1009" s="680"/>
      <c r="H1009" s="911"/>
      <c r="I1009" s="912"/>
      <c r="J1009" s="912"/>
      <c r="K1009" s="913"/>
      <c r="L1009" s="913"/>
      <c r="M1009" s="913"/>
      <c r="N1009" s="913"/>
      <c r="O1009" s="913"/>
      <c r="P1009" s="913"/>
      <c r="Q1009" s="576"/>
      <c r="R1009" s="576"/>
      <c r="S1009" s="576"/>
      <c r="T1009" s="576"/>
      <c r="U1009" s="576"/>
      <c r="V1009" s="576"/>
      <c r="W1009" s="576"/>
      <c r="X1009" s="576"/>
      <c r="Y1009" s="576"/>
      <c r="Z1009" s="576"/>
    </row>
    <row r="1010" spans="1:26" ht="18.75">
      <c r="A1010" s="680"/>
      <c r="B1010" s="680"/>
      <c r="C1010" s="680"/>
      <c r="D1010" s="910"/>
      <c r="E1010" s="680"/>
      <c r="F1010" s="680"/>
      <c r="G1010" s="680"/>
      <c r="H1010" s="911"/>
      <c r="I1010" s="912"/>
      <c r="J1010" s="912"/>
      <c r="K1010" s="913"/>
      <c r="L1010" s="913"/>
      <c r="M1010" s="913"/>
      <c r="N1010" s="913"/>
      <c r="O1010" s="913"/>
      <c r="P1010" s="913"/>
      <c r="Q1010" s="576"/>
      <c r="R1010" s="576"/>
      <c r="S1010" s="576"/>
      <c r="T1010" s="576"/>
      <c r="U1010" s="576"/>
      <c r="V1010" s="576"/>
      <c r="W1010" s="576"/>
      <c r="X1010" s="576"/>
      <c r="Y1010" s="576"/>
      <c r="Z1010" s="576"/>
    </row>
    <row r="1011" spans="1:26" ht="18.75">
      <c r="A1011" s="680"/>
      <c r="B1011" s="680"/>
      <c r="C1011" s="680"/>
      <c r="D1011" s="910"/>
      <c r="E1011" s="680"/>
      <c r="F1011" s="680"/>
      <c r="G1011" s="680"/>
      <c r="H1011" s="911"/>
      <c r="I1011" s="912"/>
      <c r="J1011" s="912"/>
      <c r="K1011" s="913"/>
      <c r="L1011" s="913"/>
      <c r="M1011" s="913"/>
      <c r="N1011" s="913"/>
      <c r="O1011" s="913"/>
      <c r="P1011" s="913"/>
      <c r="Q1011" s="576"/>
      <c r="R1011" s="576"/>
      <c r="S1011" s="576"/>
      <c r="T1011" s="576"/>
      <c r="U1011" s="576"/>
      <c r="V1011" s="576"/>
      <c r="W1011" s="576"/>
      <c r="X1011" s="576"/>
      <c r="Y1011" s="576"/>
      <c r="Z1011" s="576"/>
    </row>
    <row r="1012" spans="1:26" ht="18.75">
      <c r="A1012" s="680"/>
      <c r="B1012" s="680"/>
      <c r="C1012" s="680"/>
      <c r="D1012" s="910"/>
      <c r="E1012" s="680"/>
      <c r="F1012" s="680"/>
      <c r="G1012" s="680"/>
      <c r="H1012" s="911"/>
      <c r="I1012" s="912"/>
      <c r="J1012" s="912"/>
      <c r="K1012" s="913"/>
      <c r="L1012" s="913"/>
      <c r="M1012" s="913"/>
      <c r="N1012" s="913"/>
      <c r="O1012" s="913"/>
      <c r="P1012" s="913"/>
      <c r="Q1012" s="576"/>
      <c r="R1012" s="576"/>
      <c r="S1012" s="576"/>
      <c r="T1012" s="576"/>
      <c r="U1012" s="576"/>
      <c r="V1012" s="576"/>
      <c r="W1012" s="576"/>
      <c r="X1012" s="576"/>
      <c r="Y1012" s="576"/>
      <c r="Z1012" s="576"/>
    </row>
    <row r="1013" spans="1:26" ht="18.75">
      <c r="A1013" s="680"/>
      <c r="B1013" s="680"/>
      <c r="C1013" s="680"/>
      <c r="D1013" s="910"/>
      <c r="E1013" s="680"/>
      <c r="F1013" s="680"/>
      <c r="G1013" s="680"/>
      <c r="H1013" s="911"/>
      <c r="I1013" s="912"/>
      <c r="J1013" s="912"/>
      <c r="K1013" s="913"/>
      <c r="L1013" s="913"/>
      <c r="M1013" s="913"/>
      <c r="N1013" s="913"/>
      <c r="O1013" s="913"/>
      <c r="P1013" s="913"/>
      <c r="Q1013" s="576"/>
      <c r="R1013" s="576"/>
      <c r="S1013" s="576"/>
      <c r="T1013" s="576"/>
      <c r="U1013" s="576"/>
      <c r="V1013" s="576"/>
      <c r="W1013" s="576"/>
      <c r="X1013" s="576"/>
      <c r="Y1013" s="576"/>
      <c r="Z1013" s="576"/>
    </row>
    <row r="1014" spans="1:26" ht="18.75">
      <c r="A1014" s="680"/>
      <c r="B1014" s="680"/>
      <c r="C1014" s="680"/>
      <c r="D1014" s="910"/>
      <c r="E1014" s="680"/>
      <c r="F1014" s="680"/>
      <c r="G1014" s="680"/>
      <c r="H1014" s="911"/>
      <c r="I1014" s="912"/>
      <c r="J1014" s="912"/>
      <c r="K1014" s="913"/>
      <c r="L1014" s="913"/>
      <c r="M1014" s="913"/>
      <c r="N1014" s="913"/>
      <c r="O1014" s="913"/>
      <c r="P1014" s="913"/>
      <c r="Q1014" s="576"/>
      <c r="R1014" s="576"/>
      <c r="S1014" s="576"/>
      <c r="T1014" s="576"/>
      <c r="U1014" s="576"/>
      <c r="V1014" s="576"/>
      <c r="W1014" s="576"/>
      <c r="X1014" s="576"/>
      <c r="Y1014" s="576"/>
      <c r="Z1014" s="576"/>
    </row>
    <row r="1015" spans="1:26" ht="18.75">
      <c r="A1015" s="680"/>
      <c r="B1015" s="680"/>
      <c r="C1015" s="680"/>
      <c r="D1015" s="910"/>
      <c r="E1015" s="680"/>
      <c r="F1015" s="680"/>
      <c r="G1015" s="680"/>
      <c r="H1015" s="911"/>
      <c r="I1015" s="912"/>
      <c r="J1015" s="912"/>
      <c r="K1015" s="913"/>
      <c r="L1015" s="913"/>
      <c r="M1015" s="913"/>
      <c r="N1015" s="913"/>
      <c r="O1015" s="913"/>
      <c r="P1015" s="913"/>
      <c r="Q1015" s="576"/>
      <c r="R1015" s="576"/>
      <c r="S1015" s="576"/>
      <c r="T1015" s="576"/>
      <c r="U1015" s="576"/>
      <c r="V1015" s="576"/>
      <c r="W1015" s="576"/>
      <c r="X1015" s="576"/>
      <c r="Y1015" s="576"/>
      <c r="Z1015" s="576"/>
    </row>
    <row r="1016" spans="1:26" ht="18.75">
      <c r="A1016" s="680"/>
      <c r="B1016" s="680"/>
      <c r="C1016" s="680"/>
      <c r="D1016" s="910"/>
      <c r="E1016" s="680"/>
      <c r="F1016" s="680"/>
      <c r="G1016" s="680"/>
      <c r="H1016" s="911"/>
      <c r="I1016" s="912"/>
      <c r="J1016" s="912"/>
      <c r="K1016" s="913"/>
      <c r="L1016" s="913"/>
      <c r="M1016" s="913"/>
      <c r="N1016" s="913"/>
      <c r="O1016" s="913"/>
      <c r="P1016" s="913"/>
      <c r="Q1016" s="576"/>
      <c r="R1016" s="576"/>
      <c r="S1016" s="576"/>
      <c r="T1016" s="576"/>
      <c r="U1016" s="576"/>
      <c r="V1016" s="576"/>
      <c r="W1016" s="576"/>
      <c r="X1016" s="576"/>
      <c r="Y1016" s="576"/>
      <c r="Z1016" s="576"/>
    </row>
    <row r="1017" spans="1:26" ht="18.75">
      <c r="A1017" s="680"/>
      <c r="B1017" s="680"/>
      <c r="C1017" s="680"/>
      <c r="D1017" s="910"/>
      <c r="E1017" s="680"/>
      <c r="F1017" s="680"/>
      <c r="G1017" s="680"/>
      <c r="H1017" s="911"/>
      <c r="I1017" s="912"/>
      <c r="J1017" s="912"/>
      <c r="K1017" s="913"/>
      <c r="L1017" s="913"/>
      <c r="M1017" s="913"/>
      <c r="N1017" s="913"/>
      <c r="O1017" s="913"/>
      <c r="P1017" s="913"/>
      <c r="Q1017" s="576"/>
      <c r="R1017" s="576"/>
      <c r="S1017" s="576"/>
      <c r="T1017" s="576"/>
      <c r="U1017" s="576"/>
      <c r="V1017" s="576"/>
      <c r="W1017" s="576"/>
      <c r="X1017" s="576"/>
      <c r="Y1017" s="576"/>
      <c r="Z1017" s="576"/>
    </row>
    <row r="1018" spans="1:26" ht="18.75">
      <c r="A1018" s="680"/>
      <c r="B1018" s="680"/>
      <c r="C1018" s="680"/>
      <c r="D1018" s="910"/>
      <c r="E1018" s="680"/>
      <c r="F1018" s="680"/>
      <c r="G1018" s="680"/>
      <c r="H1018" s="911"/>
      <c r="I1018" s="912"/>
      <c r="J1018" s="912"/>
      <c r="K1018" s="913"/>
      <c r="L1018" s="913"/>
      <c r="M1018" s="913"/>
      <c r="N1018" s="913"/>
      <c r="O1018" s="913"/>
      <c r="P1018" s="913"/>
      <c r="Q1018" s="576"/>
      <c r="R1018" s="576"/>
      <c r="S1018" s="576"/>
      <c r="T1018" s="576"/>
      <c r="U1018" s="576"/>
      <c r="V1018" s="576"/>
      <c r="W1018" s="576"/>
      <c r="X1018" s="576"/>
      <c r="Y1018" s="576"/>
      <c r="Z1018" s="576"/>
    </row>
    <row r="1019" spans="1:26" ht="18.75">
      <c r="A1019" s="680"/>
      <c r="B1019" s="680"/>
      <c r="C1019" s="680"/>
      <c r="D1019" s="910"/>
      <c r="E1019" s="680"/>
      <c r="F1019" s="680"/>
      <c r="G1019" s="680"/>
      <c r="H1019" s="911"/>
      <c r="I1019" s="912"/>
      <c r="J1019" s="912"/>
      <c r="K1019" s="913"/>
      <c r="L1019" s="913"/>
      <c r="M1019" s="913"/>
      <c r="N1019" s="913"/>
      <c r="O1019" s="913"/>
      <c r="P1019" s="913"/>
      <c r="Q1019" s="576"/>
      <c r="R1019" s="576"/>
      <c r="S1019" s="576"/>
      <c r="T1019" s="576"/>
      <c r="U1019" s="576"/>
      <c r="V1019" s="576"/>
      <c r="W1019" s="576"/>
      <c r="X1019" s="576"/>
      <c r="Y1019" s="576"/>
      <c r="Z1019" s="576"/>
    </row>
    <row r="1020" spans="1:26" ht="18.75">
      <c r="A1020" s="680"/>
      <c r="B1020" s="680"/>
      <c r="C1020" s="680"/>
      <c r="D1020" s="910"/>
      <c r="E1020" s="680"/>
      <c r="F1020" s="680"/>
      <c r="G1020" s="680"/>
      <c r="H1020" s="911"/>
      <c r="I1020" s="912"/>
      <c r="J1020" s="912"/>
      <c r="K1020" s="913"/>
      <c r="L1020" s="913"/>
      <c r="M1020" s="913"/>
      <c r="N1020" s="913"/>
      <c r="O1020" s="913"/>
      <c r="P1020" s="913"/>
      <c r="Q1020" s="576"/>
      <c r="R1020" s="576"/>
      <c r="S1020" s="576"/>
      <c r="T1020" s="576"/>
      <c r="U1020" s="576"/>
      <c r="V1020" s="576"/>
      <c r="W1020" s="576"/>
      <c r="X1020" s="576"/>
      <c r="Y1020" s="576"/>
      <c r="Z1020" s="576"/>
    </row>
    <row r="1021" spans="1:26" ht="18.75">
      <c r="A1021" s="680"/>
      <c r="B1021" s="680"/>
      <c r="C1021" s="680"/>
      <c r="D1021" s="910"/>
      <c r="E1021" s="680"/>
      <c r="F1021" s="680"/>
      <c r="G1021" s="680"/>
      <c r="H1021" s="911"/>
      <c r="I1021" s="912"/>
      <c r="J1021" s="912"/>
      <c r="K1021" s="913"/>
      <c r="L1021" s="913"/>
      <c r="M1021" s="913"/>
      <c r="N1021" s="913"/>
      <c r="O1021" s="913"/>
      <c r="P1021" s="913"/>
      <c r="Q1021" s="576"/>
      <c r="R1021" s="576"/>
      <c r="S1021" s="576"/>
      <c r="T1021" s="576"/>
      <c r="U1021" s="576"/>
      <c r="V1021" s="576"/>
      <c r="W1021" s="576"/>
      <c r="X1021" s="576"/>
      <c r="Y1021" s="576"/>
      <c r="Z1021" s="576"/>
    </row>
    <row r="1022" spans="1:26" ht="18.75">
      <c r="A1022" s="680"/>
      <c r="B1022" s="680"/>
      <c r="C1022" s="680"/>
      <c r="D1022" s="910"/>
      <c r="E1022" s="680"/>
      <c r="F1022" s="680"/>
      <c r="G1022" s="680"/>
      <c r="H1022" s="911"/>
      <c r="I1022" s="912"/>
      <c r="J1022" s="912"/>
      <c r="K1022" s="913"/>
      <c r="L1022" s="913"/>
      <c r="M1022" s="913"/>
      <c r="N1022" s="913"/>
      <c r="O1022" s="913"/>
      <c r="P1022" s="913"/>
      <c r="Q1022" s="576"/>
      <c r="R1022" s="576"/>
      <c r="S1022" s="576"/>
      <c r="T1022" s="576"/>
      <c r="U1022" s="576"/>
      <c r="V1022" s="576"/>
      <c r="W1022" s="576"/>
      <c r="X1022" s="576"/>
      <c r="Y1022" s="576"/>
      <c r="Z1022" s="576"/>
    </row>
    <row r="1023" spans="1:26" ht="18.75">
      <c r="A1023" s="680"/>
      <c r="B1023" s="680"/>
      <c r="C1023" s="680"/>
      <c r="D1023" s="910"/>
      <c r="E1023" s="680"/>
      <c r="F1023" s="680"/>
      <c r="G1023" s="680"/>
      <c r="H1023" s="911"/>
      <c r="I1023" s="912"/>
      <c r="J1023" s="912"/>
      <c r="K1023" s="913"/>
      <c r="L1023" s="913"/>
      <c r="M1023" s="913"/>
      <c r="N1023" s="913"/>
      <c r="O1023" s="913"/>
      <c r="P1023" s="913"/>
      <c r="Q1023" s="576"/>
      <c r="R1023" s="576"/>
      <c r="S1023" s="576"/>
      <c r="T1023" s="576"/>
      <c r="U1023" s="576"/>
      <c r="V1023" s="576"/>
      <c r="W1023" s="576"/>
      <c r="X1023" s="576"/>
      <c r="Y1023" s="576"/>
      <c r="Z1023" s="576"/>
    </row>
    <row r="1024" spans="1:26" ht="18.75">
      <c r="A1024" s="680"/>
      <c r="B1024" s="680"/>
      <c r="C1024" s="680"/>
      <c r="D1024" s="910"/>
      <c r="E1024" s="680"/>
      <c r="F1024" s="680"/>
      <c r="G1024" s="680"/>
      <c r="H1024" s="911"/>
      <c r="I1024" s="912"/>
      <c r="J1024" s="912"/>
      <c r="K1024" s="913"/>
      <c r="L1024" s="913"/>
      <c r="M1024" s="913"/>
      <c r="N1024" s="913"/>
      <c r="O1024" s="913"/>
      <c r="P1024" s="913"/>
      <c r="Q1024" s="576"/>
      <c r="R1024" s="576"/>
      <c r="S1024" s="576"/>
      <c r="T1024" s="576"/>
      <c r="U1024" s="576"/>
      <c r="V1024" s="576"/>
      <c r="W1024" s="576"/>
      <c r="X1024" s="576"/>
      <c r="Y1024" s="576"/>
      <c r="Z1024" s="576"/>
    </row>
    <row r="1025" spans="1:26" ht="18.75">
      <c r="A1025" s="680"/>
      <c r="B1025" s="680"/>
      <c r="C1025" s="680"/>
      <c r="D1025" s="910"/>
      <c r="E1025" s="680"/>
      <c r="F1025" s="680"/>
      <c r="G1025" s="680"/>
      <c r="H1025" s="911"/>
      <c r="I1025" s="912"/>
      <c r="J1025" s="912"/>
      <c r="K1025" s="913"/>
      <c r="L1025" s="913"/>
      <c r="M1025" s="913"/>
      <c r="N1025" s="913"/>
      <c r="O1025" s="913"/>
      <c r="P1025" s="913"/>
      <c r="Q1025" s="576"/>
      <c r="R1025" s="576"/>
      <c r="S1025" s="576"/>
      <c r="T1025" s="576"/>
      <c r="U1025" s="576"/>
      <c r="V1025" s="576"/>
      <c r="W1025" s="576"/>
      <c r="X1025" s="576"/>
      <c r="Y1025" s="576"/>
      <c r="Z1025" s="576"/>
    </row>
    <row r="1026" spans="1:26" ht="18.75">
      <c r="A1026" s="680"/>
      <c r="B1026" s="680"/>
      <c r="C1026" s="680"/>
      <c r="D1026" s="910"/>
      <c r="E1026" s="680"/>
      <c r="F1026" s="680"/>
      <c r="G1026" s="680"/>
      <c r="H1026" s="911"/>
      <c r="I1026" s="912"/>
      <c r="J1026" s="912"/>
      <c r="K1026" s="913"/>
      <c r="L1026" s="913"/>
      <c r="M1026" s="913"/>
      <c r="N1026" s="913"/>
      <c r="O1026" s="913"/>
      <c r="P1026" s="913"/>
      <c r="Q1026" s="576"/>
      <c r="R1026" s="576"/>
      <c r="S1026" s="576"/>
      <c r="T1026" s="576"/>
      <c r="U1026" s="576"/>
      <c r="V1026" s="576"/>
      <c r="W1026" s="576"/>
      <c r="X1026" s="576"/>
      <c r="Y1026" s="576"/>
      <c r="Z1026" s="576"/>
    </row>
    <row r="1027" spans="1:26" ht="18.75">
      <c r="A1027" s="680"/>
      <c r="B1027" s="680"/>
      <c r="C1027" s="680"/>
      <c r="D1027" s="910"/>
      <c r="E1027" s="680"/>
      <c r="F1027" s="680"/>
      <c r="G1027" s="680"/>
      <c r="H1027" s="911"/>
      <c r="I1027" s="912"/>
      <c r="J1027" s="912"/>
      <c r="K1027" s="913"/>
      <c r="L1027" s="913"/>
      <c r="M1027" s="913"/>
      <c r="N1027" s="913"/>
      <c r="O1027" s="913"/>
      <c r="P1027" s="913"/>
      <c r="Q1027" s="576"/>
      <c r="R1027" s="576"/>
      <c r="S1027" s="576"/>
      <c r="T1027" s="576"/>
      <c r="U1027" s="576"/>
      <c r="V1027" s="576"/>
      <c r="W1027" s="576"/>
      <c r="X1027" s="576"/>
      <c r="Y1027" s="576"/>
      <c r="Z1027" s="576"/>
    </row>
    <row r="1028" spans="1:26" ht="18.75">
      <c r="A1028" s="680"/>
      <c r="B1028" s="680"/>
      <c r="C1028" s="680"/>
      <c r="D1028" s="910"/>
      <c r="E1028" s="680"/>
      <c r="F1028" s="680"/>
      <c r="G1028" s="680"/>
      <c r="H1028" s="911"/>
      <c r="I1028" s="912"/>
      <c r="J1028" s="912"/>
      <c r="K1028" s="913"/>
      <c r="L1028" s="913"/>
      <c r="M1028" s="913"/>
      <c r="N1028" s="913"/>
      <c r="O1028" s="913"/>
      <c r="P1028" s="913"/>
      <c r="Q1028" s="576"/>
      <c r="R1028" s="576"/>
      <c r="S1028" s="576"/>
      <c r="T1028" s="576"/>
      <c r="U1028" s="576"/>
      <c r="V1028" s="576"/>
      <c r="W1028" s="576"/>
      <c r="X1028" s="576"/>
      <c r="Y1028" s="576"/>
      <c r="Z1028" s="576"/>
    </row>
    <row r="1029" spans="1:26" ht="18.75">
      <c r="A1029" s="680"/>
      <c r="B1029" s="680"/>
      <c r="C1029" s="680"/>
      <c r="D1029" s="910"/>
      <c r="E1029" s="680"/>
      <c r="F1029" s="680"/>
      <c r="G1029" s="680"/>
      <c r="H1029" s="911"/>
      <c r="I1029" s="912"/>
      <c r="J1029" s="912"/>
      <c r="K1029" s="913"/>
      <c r="L1029" s="913"/>
      <c r="M1029" s="913"/>
      <c r="N1029" s="913"/>
      <c r="O1029" s="913"/>
      <c r="P1029" s="913"/>
      <c r="Q1029" s="576"/>
      <c r="R1029" s="576"/>
      <c r="S1029" s="576"/>
      <c r="T1029" s="576"/>
      <c r="U1029" s="576"/>
      <c r="V1029" s="576"/>
      <c r="W1029" s="576"/>
      <c r="X1029" s="576"/>
      <c r="Y1029" s="576"/>
      <c r="Z1029" s="576"/>
    </row>
    <row r="1030" spans="1:26" ht="18.75">
      <c r="A1030" s="680"/>
      <c r="B1030" s="680"/>
      <c r="C1030" s="680"/>
      <c r="D1030" s="910"/>
      <c r="E1030" s="680"/>
      <c r="F1030" s="680"/>
      <c r="G1030" s="680"/>
      <c r="H1030" s="911"/>
      <c r="I1030" s="912"/>
      <c r="J1030" s="912"/>
      <c r="K1030" s="913"/>
      <c r="L1030" s="913"/>
      <c r="M1030" s="913"/>
      <c r="N1030" s="913"/>
      <c r="O1030" s="913"/>
      <c r="P1030" s="913"/>
      <c r="Q1030" s="576"/>
      <c r="R1030" s="576"/>
      <c r="S1030" s="576"/>
      <c r="T1030" s="576"/>
      <c r="U1030" s="576"/>
      <c r="V1030" s="576"/>
      <c r="W1030" s="576"/>
      <c r="X1030" s="576"/>
      <c r="Y1030" s="576"/>
      <c r="Z1030" s="576"/>
    </row>
    <row r="1031" spans="1:26" ht="18.75">
      <c r="A1031" s="680"/>
      <c r="B1031" s="680"/>
      <c r="C1031" s="680"/>
      <c r="D1031" s="910"/>
      <c r="E1031" s="680"/>
      <c r="F1031" s="680"/>
      <c r="G1031" s="680"/>
      <c r="H1031" s="911"/>
      <c r="I1031" s="912"/>
      <c r="J1031" s="912"/>
      <c r="K1031" s="913"/>
      <c r="L1031" s="913"/>
      <c r="M1031" s="913"/>
      <c r="N1031" s="913"/>
      <c r="O1031" s="913"/>
      <c r="P1031" s="913"/>
      <c r="Q1031" s="576"/>
      <c r="R1031" s="576"/>
      <c r="S1031" s="576"/>
      <c r="T1031" s="576"/>
      <c r="U1031" s="576"/>
      <c r="V1031" s="576"/>
      <c r="W1031" s="576"/>
      <c r="X1031" s="576"/>
      <c r="Y1031" s="576"/>
      <c r="Z1031" s="576"/>
    </row>
    <row r="1032" spans="1:26" ht="18.75">
      <c r="A1032" s="680"/>
      <c r="B1032" s="680"/>
      <c r="C1032" s="680"/>
      <c r="D1032" s="910"/>
      <c r="E1032" s="680"/>
      <c r="F1032" s="680"/>
      <c r="G1032" s="680"/>
      <c r="H1032" s="911"/>
      <c r="I1032" s="912"/>
      <c r="J1032" s="912"/>
      <c r="K1032" s="913"/>
      <c r="L1032" s="913"/>
      <c r="M1032" s="913"/>
      <c r="N1032" s="913"/>
      <c r="O1032" s="913"/>
      <c r="P1032" s="913"/>
      <c r="Q1032" s="576"/>
      <c r="R1032" s="576"/>
      <c r="S1032" s="576"/>
      <c r="T1032" s="576"/>
      <c r="U1032" s="576"/>
      <c r="V1032" s="576"/>
      <c r="W1032" s="576"/>
      <c r="X1032" s="576"/>
      <c r="Y1032" s="576"/>
      <c r="Z1032" s="576"/>
    </row>
    <row r="1033" spans="1:26" ht="18.75">
      <c r="A1033" s="680"/>
      <c r="B1033" s="680"/>
      <c r="C1033" s="680"/>
      <c r="D1033" s="910"/>
      <c r="E1033" s="680"/>
      <c r="F1033" s="680"/>
      <c r="G1033" s="680"/>
      <c r="H1033" s="911"/>
      <c r="I1033" s="912"/>
      <c r="J1033" s="912"/>
      <c r="K1033" s="913"/>
      <c r="L1033" s="913"/>
      <c r="M1033" s="913"/>
      <c r="N1033" s="913"/>
      <c r="O1033" s="913"/>
      <c r="P1033" s="913"/>
      <c r="Q1033" s="576"/>
      <c r="R1033" s="576"/>
      <c r="S1033" s="576"/>
      <c r="T1033" s="576"/>
      <c r="U1033" s="576"/>
      <c r="V1033" s="576"/>
      <c r="W1033" s="576"/>
      <c r="X1033" s="576"/>
      <c r="Y1033" s="576"/>
      <c r="Z1033" s="576"/>
    </row>
    <row r="1034" spans="1:26" ht="18.75">
      <c r="A1034" s="680"/>
      <c r="B1034" s="680"/>
      <c r="C1034" s="680"/>
      <c r="D1034" s="910"/>
      <c r="E1034" s="680"/>
      <c r="F1034" s="680"/>
      <c r="G1034" s="680"/>
      <c r="H1034" s="911"/>
      <c r="I1034" s="912"/>
      <c r="J1034" s="912"/>
      <c r="K1034" s="913"/>
      <c r="L1034" s="913"/>
      <c r="M1034" s="913"/>
      <c r="N1034" s="913"/>
      <c r="O1034" s="913"/>
      <c r="P1034" s="913"/>
      <c r="Q1034" s="576"/>
      <c r="R1034" s="576"/>
      <c r="S1034" s="576"/>
      <c r="T1034" s="576"/>
      <c r="U1034" s="576"/>
      <c r="V1034" s="576"/>
      <c r="W1034" s="576"/>
      <c r="X1034" s="576"/>
      <c r="Y1034" s="576"/>
      <c r="Z1034" s="576"/>
    </row>
    <row r="1035" spans="1:26" ht="18.75">
      <c r="A1035" s="680"/>
      <c r="B1035" s="680"/>
      <c r="C1035" s="680"/>
      <c r="D1035" s="910"/>
      <c r="E1035" s="680"/>
      <c r="F1035" s="680"/>
      <c r="G1035" s="680"/>
      <c r="H1035" s="911"/>
      <c r="I1035" s="912"/>
      <c r="J1035" s="912"/>
      <c r="K1035" s="913"/>
      <c r="L1035" s="913"/>
      <c r="M1035" s="913"/>
      <c r="N1035" s="913"/>
      <c r="O1035" s="913"/>
      <c r="P1035" s="913"/>
      <c r="Q1035" s="576"/>
      <c r="R1035" s="576"/>
      <c r="S1035" s="576"/>
      <c r="T1035" s="576"/>
      <c r="U1035" s="576"/>
      <c r="V1035" s="576"/>
      <c r="W1035" s="576"/>
      <c r="X1035" s="576"/>
      <c r="Y1035" s="576"/>
      <c r="Z1035" s="576"/>
    </row>
    <row r="1036" spans="1:26" ht="18.75">
      <c r="A1036" s="680"/>
      <c r="B1036" s="680"/>
      <c r="C1036" s="680"/>
      <c r="D1036" s="910"/>
      <c r="E1036" s="680"/>
      <c r="F1036" s="680"/>
      <c r="G1036" s="680"/>
      <c r="H1036" s="911"/>
      <c r="I1036" s="912"/>
      <c r="J1036" s="912"/>
      <c r="K1036" s="913"/>
      <c r="L1036" s="913"/>
      <c r="M1036" s="913"/>
      <c r="N1036" s="913"/>
      <c r="O1036" s="913"/>
      <c r="P1036" s="913"/>
      <c r="Q1036" s="576"/>
      <c r="R1036" s="576"/>
      <c r="S1036" s="576"/>
      <c r="T1036" s="576"/>
      <c r="U1036" s="576"/>
      <c r="V1036" s="576"/>
      <c r="W1036" s="576"/>
      <c r="X1036" s="576"/>
      <c r="Y1036" s="576"/>
      <c r="Z1036" s="576"/>
    </row>
    <row r="1037" spans="1:26" ht="18.75">
      <c r="A1037" s="680"/>
      <c r="B1037" s="680"/>
      <c r="C1037" s="680"/>
      <c r="D1037" s="910"/>
      <c r="E1037" s="680"/>
      <c r="F1037" s="680"/>
      <c r="G1037" s="680"/>
      <c r="H1037" s="911"/>
      <c r="I1037" s="912"/>
      <c r="J1037" s="912"/>
      <c r="K1037" s="913"/>
      <c r="L1037" s="913"/>
      <c r="M1037" s="913"/>
      <c r="N1037" s="913"/>
      <c r="O1037" s="913"/>
      <c r="P1037" s="913"/>
      <c r="Q1037" s="576"/>
      <c r="R1037" s="576"/>
      <c r="S1037" s="576"/>
      <c r="T1037" s="576"/>
      <c r="U1037" s="576"/>
      <c r="V1037" s="576"/>
      <c r="W1037" s="576"/>
      <c r="X1037" s="576"/>
      <c r="Y1037" s="576"/>
      <c r="Z1037" s="576"/>
    </row>
    <row r="1038" spans="1:26" ht="18.75">
      <c r="A1038" s="680"/>
      <c r="B1038" s="680"/>
      <c r="C1038" s="680"/>
      <c r="D1038" s="910"/>
      <c r="E1038" s="680"/>
      <c r="F1038" s="680"/>
      <c r="G1038" s="680"/>
      <c r="H1038" s="911"/>
      <c r="I1038" s="912"/>
      <c r="J1038" s="912"/>
      <c r="K1038" s="913"/>
      <c r="L1038" s="913"/>
      <c r="M1038" s="913"/>
      <c r="N1038" s="913"/>
      <c r="O1038" s="913"/>
      <c r="P1038" s="913"/>
      <c r="Q1038" s="576"/>
      <c r="R1038" s="576"/>
      <c r="S1038" s="576"/>
      <c r="T1038" s="576"/>
      <c r="U1038" s="576"/>
      <c r="V1038" s="576"/>
      <c r="W1038" s="576"/>
      <c r="X1038" s="576"/>
      <c r="Y1038" s="576"/>
      <c r="Z1038" s="576"/>
    </row>
    <row r="1039" spans="1:26" ht="18.75">
      <c r="A1039" s="680"/>
      <c r="B1039" s="680"/>
      <c r="C1039" s="680"/>
      <c r="D1039" s="910"/>
      <c r="E1039" s="680"/>
      <c r="F1039" s="680"/>
      <c r="G1039" s="680"/>
      <c r="H1039" s="911"/>
      <c r="I1039" s="912"/>
      <c r="J1039" s="912"/>
      <c r="K1039" s="913"/>
      <c r="L1039" s="913"/>
      <c r="M1039" s="913"/>
      <c r="N1039" s="913"/>
      <c r="O1039" s="913"/>
      <c r="P1039" s="913"/>
      <c r="Q1039" s="576"/>
      <c r="R1039" s="576"/>
      <c r="S1039" s="576"/>
      <c r="T1039" s="576"/>
      <c r="U1039" s="576"/>
      <c r="V1039" s="576"/>
      <c r="W1039" s="576"/>
      <c r="X1039" s="576"/>
      <c r="Y1039" s="576"/>
      <c r="Z1039" s="576"/>
    </row>
    <row r="1040" spans="1:26" ht="18.75">
      <c r="A1040" s="680"/>
      <c r="B1040" s="680"/>
      <c r="C1040" s="680"/>
      <c r="D1040" s="910"/>
      <c r="E1040" s="680"/>
      <c r="F1040" s="680"/>
      <c r="G1040" s="680"/>
      <c r="H1040" s="911"/>
      <c r="I1040" s="912"/>
      <c r="J1040" s="912"/>
      <c r="K1040" s="913"/>
      <c r="L1040" s="913"/>
      <c r="M1040" s="913"/>
      <c r="N1040" s="913"/>
      <c r="O1040" s="913"/>
      <c r="P1040" s="913"/>
      <c r="Q1040" s="576"/>
      <c r="R1040" s="576"/>
      <c r="S1040" s="576"/>
      <c r="T1040" s="576"/>
      <c r="U1040" s="576"/>
      <c r="V1040" s="576"/>
      <c r="W1040" s="576"/>
      <c r="X1040" s="576"/>
      <c r="Y1040" s="576"/>
      <c r="Z1040" s="576"/>
    </row>
    <row r="1041" spans="1:26" ht="18.75">
      <c r="A1041" s="680"/>
      <c r="B1041" s="680"/>
      <c r="C1041" s="680"/>
      <c r="D1041" s="910"/>
      <c r="E1041" s="680"/>
      <c r="F1041" s="680"/>
      <c r="G1041" s="680"/>
      <c r="H1041" s="911"/>
      <c r="I1041" s="912"/>
      <c r="J1041" s="912"/>
      <c r="K1041" s="913"/>
      <c r="L1041" s="913"/>
      <c r="M1041" s="913"/>
      <c r="N1041" s="913"/>
      <c r="O1041" s="913"/>
      <c r="P1041" s="913"/>
      <c r="Q1041" s="576"/>
      <c r="R1041" s="576"/>
      <c r="S1041" s="576"/>
      <c r="T1041" s="576"/>
      <c r="U1041" s="576"/>
      <c r="V1041" s="576"/>
      <c r="W1041" s="576"/>
      <c r="X1041" s="576"/>
      <c r="Y1041" s="576"/>
      <c r="Z1041" s="576"/>
    </row>
    <row r="1042" spans="1:26" ht="18.75">
      <c r="A1042" s="680"/>
      <c r="B1042" s="680"/>
      <c r="C1042" s="680"/>
      <c r="D1042" s="910"/>
      <c r="E1042" s="680"/>
      <c r="F1042" s="680"/>
      <c r="G1042" s="680"/>
      <c r="H1042" s="911"/>
      <c r="I1042" s="912"/>
      <c r="J1042" s="912"/>
      <c r="K1042" s="913"/>
      <c r="L1042" s="913"/>
      <c r="M1042" s="913"/>
      <c r="N1042" s="913"/>
      <c r="O1042" s="913"/>
      <c r="P1042" s="913"/>
      <c r="Q1042" s="576"/>
      <c r="R1042" s="576"/>
      <c r="S1042" s="576"/>
      <c r="T1042" s="576"/>
      <c r="U1042" s="576"/>
      <c r="V1042" s="576"/>
      <c r="W1042" s="576"/>
      <c r="X1042" s="576"/>
      <c r="Y1042" s="576"/>
      <c r="Z1042" s="576"/>
    </row>
    <row r="1043" spans="1:26" ht="18.75">
      <c r="A1043" s="680"/>
      <c r="B1043" s="680"/>
      <c r="C1043" s="680"/>
      <c r="D1043" s="910"/>
      <c r="E1043" s="680"/>
      <c r="F1043" s="680"/>
      <c r="G1043" s="680"/>
      <c r="H1043" s="911"/>
      <c r="I1043" s="912"/>
      <c r="J1043" s="912"/>
      <c r="K1043" s="913"/>
      <c r="L1043" s="913"/>
      <c r="M1043" s="913"/>
      <c r="N1043" s="913"/>
      <c r="O1043" s="913"/>
      <c r="P1043" s="913"/>
      <c r="Q1043" s="576"/>
      <c r="R1043" s="576"/>
      <c r="S1043" s="576"/>
      <c r="T1043" s="576"/>
      <c r="U1043" s="576"/>
      <c r="V1043" s="576"/>
      <c r="W1043" s="576"/>
      <c r="X1043" s="576"/>
      <c r="Y1043" s="576"/>
      <c r="Z1043" s="576"/>
    </row>
    <row r="1044" spans="1:26" ht="18.75">
      <c r="A1044" s="680"/>
      <c r="B1044" s="680"/>
      <c r="C1044" s="680"/>
      <c r="D1044" s="910"/>
      <c r="E1044" s="680"/>
      <c r="F1044" s="680"/>
      <c r="G1044" s="680"/>
      <c r="H1044" s="911"/>
      <c r="I1044" s="912"/>
      <c r="J1044" s="912"/>
      <c r="K1044" s="913"/>
      <c r="L1044" s="913"/>
      <c r="M1044" s="913"/>
      <c r="N1044" s="913"/>
      <c r="O1044" s="913"/>
      <c r="P1044" s="913"/>
      <c r="Q1044" s="576"/>
      <c r="R1044" s="576"/>
      <c r="S1044" s="576"/>
      <c r="T1044" s="576"/>
      <c r="U1044" s="576"/>
      <c r="V1044" s="576"/>
      <c r="W1044" s="576"/>
      <c r="X1044" s="576"/>
      <c r="Y1044" s="576"/>
      <c r="Z1044" s="576"/>
    </row>
    <row r="1045" spans="1:26" ht="18.75">
      <c r="A1045" s="680"/>
      <c r="B1045" s="680"/>
      <c r="C1045" s="680"/>
      <c r="D1045" s="910"/>
      <c r="E1045" s="680"/>
      <c r="F1045" s="680"/>
      <c r="G1045" s="680"/>
      <c r="H1045" s="911"/>
      <c r="I1045" s="912"/>
      <c r="J1045" s="912"/>
      <c r="K1045" s="913"/>
      <c r="L1045" s="913"/>
      <c r="M1045" s="913"/>
      <c r="N1045" s="913"/>
      <c r="O1045" s="913"/>
      <c r="P1045" s="913"/>
      <c r="Q1045" s="576"/>
      <c r="R1045" s="576"/>
      <c r="S1045" s="576"/>
      <c r="T1045" s="576"/>
      <c r="U1045" s="576"/>
      <c r="V1045" s="576"/>
      <c r="W1045" s="576"/>
      <c r="X1045" s="576"/>
      <c r="Y1045" s="576"/>
      <c r="Z1045" s="576"/>
    </row>
    <row r="1046" spans="1:26" ht="18.75">
      <c r="A1046" s="680"/>
      <c r="B1046" s="680"/>
      <c r="C1046" s="680"/>
      <c r="D1046" s="910"/>
      <c r="E1046" s="680"/>
      <c r="F1046" s="680"/>
      <c r="G1046" s="680"/>
      <c r="H1046" s="911"/>
      <c r="I1046" s="912"/>
      <c r="J1046" s="912"/>
      <c r="K1046" s="913"/>
      <c r="L1046" s="913"/>
      <c r="M1046" s="913"/>
      <c r="N1046" s="913"/>
      <c r="O1046" s="913"/>
      <c r="P1046" s="913"/>
      <c r="Q1046" s="576"/>
      <c r="R1046" s="576"/>
      <c r="S1046" s="576"/>
      <c r="T1046" s="576"/>
      <c r="U1046" s="576"/>
      <c r="V1046" s="576"/>
      <c r="W1046" s="576"/>
      <c r="X1046" s="576"/>
      <c r="Y1046" s="576"/>
      <c r="Z1046" s="576"/>
    </row>
    <row r="1047" spans="1:26" ht="18.75">
      <c r="A1047" s="680"/>
      <c r="B1047" s="680"/>
      <c r="C1047" s="680"/>
      <c r="D1047" s="910"/>
      <c r="E1047" s="680"/>
      <c r="F1047" s="680"/>
      <c r="G1047" s="680"/>
      <c r="H1047" s="911"/>
      <c r="I1047" s="912"/>
      <c r="J1047" s="912"/>
      <c r="K1047" s="913"/>
      <c r="L1047" s="913"/>
      <c r="M1047" s="913"/>
      <c r="N1047" s="913"/>
      <c r="O1047" s="913"/>
      <c r="P1047" s="913"/>
      <c r="Q1047" s="576"/>
      <c r="R1047" s="576"/>
      <c r="S1047" s="576"/>
      <c r="T1047" s="576"/>
      <c r="U1047" s="576"/>
      <c r="V1047" s="576"/>
      <c r="W1047" s="576"/>
      <c r="X1047" s="576"/>
      <c r="Y1047" s="576"/>
      <c r="Z1047" s="576"/>
    </row>
    <row r="1048" spans="1:26" ht="18.75">
      <c r="A1048" s="680"/>
      <c r="B1048" s="680"/>
      <c r="C1048" s="680"/>
      <c r="D1048" s="910"/>
      <c r="E1048" s="680"/>
      <c r="F1048" s="680"/>
      <c r="G1048" s="680"/>
      <c r="H1048" s="911"/>
      <c r="I1048" s="912"/>
      <c r="J1048" s="912"/>
      <c r="K1048" s="913"/>
      <c r="L1048" s="913"/>
      <c r="M1048" s="913"/>
      <c r="N1048" s="913"/>
      <c r="O1048" s="913"/>
      <c r="P1048" s="913"/>
      <c r="Q1048" s="576"/>
      <c r="R1048" s="576"/>
      <c r="S1048" s="576"/>
      <c r="T1048" s="576"/>
      <c r="U1048" s="576"/>
      <c r="V1048" s="576"/>
      <c r="W1048" s="576"/>
      <c r="X1048" s="576"/>
      <c r="Y1048" s="576"/>
      <c r="Z1048" s="576"/>
    </row>
    <row r="1049" spans="1:26" ht="18.75">
      <c r="A1049" s="680"/>
      <c r="B1049" s="680"/>
      <c r="C1049" s="680"/>
      <c r="D1049" s="910"/>
      <c r="E1049" s="680"/>
      <c r="F1049" s="680"/>
      <c r="G1049" s="680"/>
      <c r="H1049" s="911"/>
      <c r="I1049" s="912"/>
      <c r="J1049" s="912"/>
      <c r="K1049" s="913"/>
      <c r="L1049" s="913"/>
      <c r="M1049" s="913"/>
      <c r="N1049" s="913"/>
      <c r="O1049" s="913"/>
      <c r="P1049" s="913"/>
      <c r="Q1049" s="576"/>
      <c r="R1049" s="576"/>
      <c r="S1049" s="576"/>
      <c r="T1049" s="576"/>
      <c r="U1049" s="576"/>
      <c r="V1049" s="576"/>
      <c r="W1049" s="576"/>
      <c r="X1049" s="576"/>
      <c r="Y1049" s="576"/>
      <c r="Z1049" s="576"/>
    </row>
    <row r="1050" spans="1:26" ht="18.75">
      <c r="A1050" s="680"/>
      <c r="B1050" s="680"/>
      <c r="C1050" s="680"/>
      <c r="D1050" s="910"/>
      <c r="E1050" s="680"/>
      <c r="F1050" s="680"/>
      <c r="G1050" s="680"/>
      <c r="H1050" s="911"/>
      <c r="I1050" s="912"/>
      <c r="J1050" s="912"/>
      <c r="K1050" s="913"/>
      <c r="L1050" s="913"/>
      <c r="M1050" s="913"/>
      <c r="N1050" s="913"/>
      <c r="O1050" s="913"/>
      <c r="P1050" s="913"/>
      <c r="Q1050" s="576"/>
      <c r="R1050" s="576"/>
      <c r="S1050" s="576"/>
      <c r="T1050" s="576"/>
      <c r="U1050" s="576"/>
      <c r="V1050" s="576"/>
      <c r="W1050" s="576"/>
      <c r="X1050" s="576"/>
      <c r="Y1050" s="576"/>
      <c r="Z1050" s="576"/>
    </row>
    <row r="1051" spans="1:26" ht="18.75">
      <c r="A1051" s="680"/>
      <c r="B1051" s="680"/>
      <c r="C1051" s="680"/>
      <c r="D1051" s="910"/>
      <c r="E1051" s="680"/>
      <c r="F1051" s="680"/>
      <c r="G1051" s="680"/>
      <c r="H1051" s="911"/>
      <c r="I1051" s="912"/>
      <c r="J1051" s="912"/>
      <c r="K1051" s="913"/>
      <c r="L1051" s="913"/>
      <c r="M1051" s="913"/>
      <c r="N1051" s="913"/>
      <c r="O1051" s="913"/>
      <c r="P1051" s="913"/>
      <c r="Q1051" s="576"/>
      <c r="R1051" s="576"/>
      <c r="S1051" s="576"/>
      <c r="T1051" s="576"/>
      <c r="U1051" s="576"/>
      <c r="V1051" s="576"/>
      <c r="W1051" s="576"/>
      <c r="X1051" s="576"/>
      <c r="Y1051" s="576"/>
      <c r="Z1051" s="576"/>
    </row>
    <row r="1052" spans="1:26" ht="18.75">
      <c r="A1052" s="680"/>
      <c r="B1052" s="680"/>
      <c r="C1052" s="680"/>
      <c r="D1052" s="910"/>
      <c r="E1052" s="680"/>
      <c r="F1052" s="680"/>
      <c r="G1052" s="680"/>
      <c r="H1052" s="911"/>
      <c r="I1052" s="912"/>
      <c r="J1052" s="912"/>
      <c r="K1052" s="913"/>
      <c r="L1052" s="913"/>
      <c r="M1052" s="913"/>
      <c r="N1052" s="913"/>
      <c r="O1052" s="913"/>
      <c r="P1052" s="913"/>
      <c r="Q1052" s="576"/>
      <c r="R1052" s="576"/>
      <c r="S1052" s="576"/>
      <c r="T1052" s="576"/>
      <c r="U1052" s="576"/>
      <c r="V1052" s="576"/>
      <c r="W1052" s="576"/>
      <c r="X1052" s="576"/>
      <c r="Y1052" s="576"/>
      <c r="Z1052" s="576"/>
    </row>
    <row r="1053" spans="1:26" ht="18.75">
      <c r="A1053" s="680"/>
      <c r="B1053" s="680"/>
      <c r="C1053" s="680"/>
      <c r="D1053" s="910"/>
      <c r="E1053" s="680"/>
      <c r="F1053" s="680"/>
      <c r="G1053" s="680"/>
      <c r="H1053" s="911"/>
      <c r="I1053" s="912"/>
      <c r="J1053" s="912"/>
      <c r="K1053" s="913"/>
      <c r="L1053" s="913"/>
      <c r="M1053" s="913"/>
      <c r="N1053" s="913"/>
      <c r="O1053" s="913"/>
      <c r="P1053" s="913"/>
      <c r="Q1053" s="576"/>
      <c r="R1053" s="576"/>
      <c r="S1053" s="576"/>
      <c r="T1053" s="576"/>
      <c r="U1053" s="576"/>
      <c r="V1053" s="576"/>
      <c r="W1053" s="576"/>
      <c r="X1053" s="576"/>
      <c r="Y1053" s="576"/>
      <c r="Z1053" s="576"/>
    </row>
    <row r="1054" spans="1:26" ht="18.75">
      <c r="A1054" s="680"/>
      <c r="B1054" s="680"/>
      <c r="C1054" s="680"/>
      <c r="D1054" s="910"/>
      <c r="E1054" s="680"/>
      <c r="F1054" s="680"/>
      <c r="G1054" s="680"/>
      <c r="H1054" s="911"/>
      <c r="I1054" s="912"/>
      <c r="J1054" s="912"/>
      <c r="K1054" s="913"/>
      <c r="L1054" s="913"/>
      <c r="M1054" s="913"/>
      <c r="N1054" s="913"/>
      <c r="O1054" s="913"/>
      <c r="P1054" s="913"/>
      <c r="Q1054" s="576"/>
      <c r="R1054" s="576"/>
      <c r="S1054" s="576"/>
      <c r="T1054" s="576"/>
      <c r="U1054" s="576"/>
      <c r="V1054" s="576"/>
      <c r="W1054" s="576"/>
      <c r="X1054" s="576"/>
      <c r="Y1054" s="576"/>
      <c r="Z1054" s="576"/>
    </row>
    <row r="1055" spans="1:26" ht="18.75">
      <c r="A1055" s="680"/>
      <c r="B1055" s="680"/>
      <c r="C1055" s="680"/>
      <c r="D1055" s="910"/>
      <c r="E1055" s="680"/>
      <c r="F1055" s="680"/>
      <c r="G1055" s="680"/>
      <c r="H1055" s="911"/>
      <c r="I1055" s="912"/>
      <c r="J1055" s="912"/>
      <c r="K1055" s="913"/>
      <c r="L1055" s="913"/>
      <c r="M1055" s="913"/>
      <c r="N1055" s="913"/>
      <c r="O1055" s="913"/>
      <c r="P1055" s="913"/>
      <c r="Q1055" s="576"/>
      <c r="R1055" s="576"/>
      <c r="S1055" s="576"/>
      <c r="T1055" s="576"/>
      <c r="U1055" s="576"/>
      <c r="V1055" s="576"/>
      <c r="W1055" s="576"/>
      <c r="X1055" s="576"/>
      <c r="Y1055" s="576"/>
      <c r="Z1055" s="576"/>
    </row>
    <row r="1056" spans="1:26" ht="18.75">
      <c r="A1056" s="680"/>
      <c r="B1056" s="680"/>
      <c r="C1056" s="680"/>
      <c r="D1056" s="910"/>
      <c r="E1056" s="680"/>
      <c r="F1056" s="680"/>
      <c r="G1056" s="680"/>
      <c r="H1056" s="911"/>
      <c r="I1056" s="912"/>
      <c r="J1056" s="912"/>
      <c r="K1056" s="913"/>
      <c r="L1056" s="913"/>
      <c r="M1056" s="913"/>
      <c r="N1056" s="913"/>
      <c r="O1056" s="913"/>
      <c r="P1056" s="913"/>
      <c r="Q1056" s="576"/>
      <c r="R1056" s="576"/>
      <c r="S1056" s="576"/>
      <c r="T1056" s="576"/>
      <c r="U1056" s="576"/>
      <c r="V1056" s="576"/>
      <c r="W1056" s="576"/>
      <c r="X1056" s="576"/>
      <c r="Y1056" s="576"/>
      <c r="Z1056" s="576"/>
    </row>
    <row r="1057" spans="1:26" ht="18.75">
      <c r="A1057" s="680"/>
      <c r="B1057" s="680"/>
      <c r="C1057" s="680"/>
      <c r="D1057" s="910"/>
      <c r="E1057" s="680"/>
      <c r="F1057" s="680"/>
      <c r="G1057" s="680"/>
      <c r="H1057" s="911"/>
      <c r="I1057" s="912"/>
      <c r="J1057" s="912"/>
      <c r="K1057" s="913"/>
      <c r="L1057" s="913"/>
      <c r="M1057" s="913"/>
      <c r="N1057" s="913"/>
      <c r="O1057" s="913"/>
      <c r="P1057" s="913"/>
      <c r="Q1057" s="576"/>
      <c r="R1057" s="576"/>
      <c r="S1057" s="576"/>
      <c r="T1057" s="576"/>
      <c r="U1057" s="576"/>
      <c r="V1057" s="576"/>
      <c r="W1057" s="576"/>
      <c r="X1057" s="576"/>
      <c r="Y1057" s="576"/>
      <c r="Z1057" s="576"/>
    </row>
    <row r="1058" spans="1:26" ht="18.75">
      <c r="A1058" s="680"/>
      <c r="B1058" s="680"/>
      <c r="C1058" s="680"/>
      <c r="D1058" s="910"/>
      <c r="E1058" s="680"/>
      <c r="F1058" s="680"/>
      <c r="G1058" s="680"/>
      <c r="H1058" s="911"/>
      <c r="I1058" s="912"/>
      <c r="J1058" s="912"/>
      <c r="K1058" s="913"/>
      <c r="L1058" s="913"/>
      <c r="M1058" s="913"/>
      <c r="N1058" s="913"/>
      <c r="O1058" s="913"/>
      <c r="P1058" s="913"/>
      <c r="Q1058" s="576"/>
      <c r="R1058" s="576"/>
      <c r="S1058" s="576"/>
      <c r="T1058" s="576"/>
      <c r="U1058" s="576"/>
      <c r="V1058" s="576"/>
      <c r="W1058" s="576"/>
      <c r="X1058" s="576"/>
      <c r="Y1058" s="576"/>
      <c r="Z1058" s="576"/>
    </row>
    <row r="1059" spans="1:26" ht="18.75">
      <c r="A1059" s="680"/>
      <c r="B1059" s="680"/>
      <c r="C1059" s="680"/>
      <c r="D1059" s="910"/>
      <c r="E1059" s="680"/>
      <c r="F1059" s="680"/>
      <c r="G1059" s="680"/>
      <c r="H1059" s="911"/>
      <c r="I1059" s="912"/>
      <c r="J1059" s="912"/>
      <c r="K1059" s="913"/>
      <c r="L1059" s="913"/>
      <c r="M1059" s="913"/>
      <c r="N1059" s="913"/>
      <c r="O1059" s="913"/>
      <c r="P1059" s="913"/>
      <c r="Q1059" s="576"/>
      <c r="R1059" s="576"/>
      <c r="S1059" s="576"/>
      <c r="T1059" s="576"/>
      <c r="U1059" s="576"/>
      <c r="V1059" s="576"/>
      <c r="W1059" s="576"/>
      <c r="X1059" s="576"/>
      <c r="Y1059" s="576"/>
      <c r="Z1059" s="576"/>
    </row>
    <row r="1060" spans="1:26" ht="18.75">
      <c r="A1060" s="680"/>
      <c r="B1060" s="680"/>
      <c r="C1060" s="680"/>
      <c r="D1060" s="910"/>
      <c r="E1060" s="680"/>
      <c r="F1060" s="680"/>
      <c r="G1060" s="680"/>
      <c r="H1060" s="911"/>
      <c r="I1060" s="912"/>
      <c r="J1060" s="912"/>
      <c r="K1060" s="913"/>
      <c r="L1060" s="913"/>
      <c r="M1060" s="913"/>
      <c r="N1060" s="913"/>
      <c r="O1060" s="913"/>
      <c r="P1060" s="913"/>
      <c r="Q1060" s="576"/>
      <c r="R1060" s="576"/>
      <c r="S1060" s="576"/>
      <c r="T1060" s="576"/>
      <c r="U1060" s="576"/>
      <c r="V1060" s="576"/>
      <c r="W1060" s="576"/>
      <c r="X1060" s="576"/>
      <c r="Y1060" s="576"/>
      <c r="Z1060" s="576"/>
    </row>
    <row r="1061" spans="1:26" ht="18.75">
      <c r="A1061" s="680"/>
      <c r="B1061" s="680"/>
      <c r="C1061" s="680"/>
      <c r="D1061" s="910"/>
      <c r="E1061" s="680"/>
      <c r="F1061" s="680"/>
      <c r="G1061" s="680"/>
      <c r="H1061" s="911"/>
      <c r="I1061" s="912"/>
      <c r="J1061" s="912"/>
      <c r="K1061" s="913"/>
      <c r="L1061" s="913"/>
      <c r="M1061" s="913"/>
      <c r="N1061" s="913"/>
      <c r="O1061" s="913"/>
      <c r="P1061" s="913"/>
      <c r="Q1061" s="576"/>
      <c r="R1061" s="576"/>
      <c r="S1061" s="576"/>
      <c r="T1061" s="576"/>
      <c r="U1061" s="576"/>
      <c r="V1061" s="576"/>
      <c r="W1061" s="576"/>
      <c r="X1061" s="576"/>
      <c r="Y1061" s="576"/>
      <c r="Z1061" s="576"/>
    </row>
    <row r="1062" spans="1:26" ht="18.75">
      <c r="A1062" s="680"/>
      <c r="B1062" s="680"/>
      <c r="C1062" s="680"/>
      <c r="D1062" s="910"/>
      <c r="E1062" s="680"/>
      <c r="F1062" s="680"/>
      <c r="G1062" s="680"/>
      <c r="H1062" s="911"/>
      <c r="I1062" s="912"/>
      <c r="J1062" s="912"/>
      <c r="K1062" s="913"/>
      <c r="L1062" s="913"/>
      <c r="M1062" s="913"/>
      <c r="N1062" s="913"/>
      <c r="O1062" s="913"/>
      <c r="P1062" s="913"/>
      <c r="Q1062" s="576"/>
      <c r="R1062" s="576"/>
      <c r="S1062" s="576"/>
      <c r="T1062" s="576"/>
      <c r="U1062" s="576"/>
      <c r="V1062" s="576"/>
      <c r="W1062" s="576"/>
      <c r="X1062" s="576"/>
      <c r="Y1062" s="576"/>
      <c r="Z1062" s="576"/>
    </row>
    <row r="1063" spans="1:26" ht="18.75">
      <c r="A1063" s="680"/>
      <c r="B1063" s="680"/>
      <c r="C1063" s="680"/>
      <c r="D1063" s="910"/>
      <c r="E1063" s="680"/>
      <c r="F1063" s="680"/>
      <c r="G1063" s="680"/>
      <c r="H1063" s="911"/>
      <c r="I1063" s="912"/>
      <c r="J1063" s="912"/>
      <c r="K1063" s="913"/>
      <c r="L1063" s="913"/>
      <c r="M1063" s="913"/>
      <c r="N1063" s="913"/>
      <c r="O1063" s="913"/>
      <c r="P1063" s="913"/>
      <c r="Q1063" s="576"/>
      <c r="R1063" s="576"/>
      <c r="S1063" s="576"/>
      <c r="T1063" s="576"/>
      <c r="U1063" s="576"/>
      <c r="V1063" s="576"/>
      <c r="W1063" s="576"/>
      <c r="X1063" s="576"/>
      <c r="Y1063" s="576"/>
      <c r="Z1063" s="576"/>
    </row>
    <row r="1064" spans="1:26" ht="18.75">
      <c r="A1064" s="680"/>
      <c r="B1064" s="680"/>
      <c r="C1064" s="680"/>
      <c r="D1064" s="910"/>
      <c r="E1064" s="680"/>
      <c r="F1064" s="680"/>
      <c r="G1064" s="680"/>
      <c r="H1064" s="911"/>
      <c r="I1064" s="912"/>
      <c r="J1064" s="912"/>
      <c r="K1064" s="913"/>
      <c r="L1064" s="913"/>
      <c r="M1064" s="913"/>
      <c r="N1064" s="913"/>
      <c r="O1064" s="913"/>
      <c r="P1064" s="913"/>
      <c r="Q1064" s="576"/>
      <c r="R1064" s="576"/>
      <c r="S1064" s="576"/>
      <c r="T1064" s="576"/>
      <c r="U1064" s="576"/>
      <c r="V1064" s="576"/>
      <c r="W1064" s="576"/>
      <c r="X1064" s="576"/>
      <c r="Y1064" s="576"/>
      <c r="Z1064" s="576"/>
    </row>
    <row r="1065" spans="1:26" ht="18.75">
      <c r="A1065" s="680"/>
      <c r="B1065" s="680"/>
      <c r="C1065" s="680"/>
      <c r="D1065" s="910"/>
      <c r="E1065" s="680"/>
      <c r="F1065" s="680"/>
      <c r="G1065" s="680"/>
      <c r="H1065" s="911"/>
      <c r="I1065" s="912"/>
      <c r="J1065" s="912"/>
      <c r="K1065" s="913"/>
      <c r="L1065" s="913"/>
      <c r="M1065" s="913"/>
      <c r="N1065" s="913"/>
      <c r="O1065" s="913"/>
      <c r="P1065" s="913"/>
      <c r="Q1065" s="576"/>
      <c r="R1065" s="576"/>
      <c r="S1065" s="576"/>
      <c r="T1065" s="576"/>
      <c r="U1065" s="576"/>
      <c r="V1065" s="576"/>
      <c r="W1065" s="576"/>
      <c r="X1065" s="576"/>
      <c r="Y1065" s="576"/>
      <c r="Z1065" s="576"/>
    </row>
    <row r="1066" spans="1:26" ht="18.75">
      <c r="A1066" s="680"/>
      <c r="B1066" s="680"/>
      <c r="C1066" s="680"/>
      <c r="D1066" s="910"/>
      <c r="E1066" s="680"/>
      <c r="F1066" s="680"/>
      <c r="G1066" s="680"/>
      <c r="H1066" s="911"/>
      <c r="I1066" s="912"/>
      <c r="J1066" s="912"/>
      <c r="K1066" s="913"/>
      <c r="L1066" s="913"/>
      <c r="M1066" s="913"/>
      <c r="N1066" s="913"/>
      <c r="O1066" s="913"/>
      <c r="P1066" s="913"/>
      <c r="Q1066" s="576"/>
      <c r="R1066" s="576"/>
      <c r="S1066" s="576"/>
      <c r="T1066" s="576"/>
      <c r="U1066" s="576"/>
      <c r="V1066" s="576"/>
      <c r="W1066" s="576"/>
      <c r="X1066" s="576"/>
      <c r="Y1066" s="576"/>
      <c r="Z1066" s="576"/>
    </row>
    <row r="1067" spans="1:26" ht="18.75">
      <c r="A1067" s="680"/>
      <c r="B1067" s="680"/>
      <c r="C1067" s="680"/>
      <c r="D1067" s="910"/>
      <c r="E1067" s="680"/>
      <c r="F1067" s="680"/>
      <c r="G1067" s="680"/>
      <c r="H1067" s="911"/>
      <c r="I1067" s="912"/>
      <c r="J1067" s="912"/>
      <c r="K1067" s="913"/>
      <c r="L1067" s="913"/>
      <c r="M1067" s="913"/>
      <c r="N1067" s="913"/>
      <c r="O1067" s="913"/>
      <c r="P1067" s="913"/>
      <c r="Q1067" s="576"/>
      <c r="R1067" s="576"/>
      <c r="S1067" s="576"/>
      <c r="T1067" s="576"/>
      <c r="U1067" s="576"/>
      <c r="V1067" s="576"/>
      <c r="W1067" s="576"/>
      <c r="X1067" s="576"/>
      <c r="Y1067" s="576"/>
      <c r="Z1067" s="576"/>
    </row>
    <row r="1068" spans="1:26" ht="18.75">
      <c r="A1068" s="680"/>
      <c r="B1068" s="680"/>
      <c r="C1068" s="680"/>
      <c r="D1068" s="910"/>
      <c r="E1068" s="680"/>
      <c r="F1068" s="680"/>
      <c r="G1068" s="680"/>
      <c r="H1068" s="911"/>
      <c r="I1068" s="912"/>
      <c r="J1068" s="912"/>
      <c r="K1068" s="913"/>
      <c r="L1068" s="913"/>
      <c r="M1068" s="913"/>
      <c r="N1068" s="913"/>
      <c r="O1068" s="913"/>
      <c r="P1068" s="913"/>
      <c r="Q1068" s="576"/>
      <c r="R1068" s="576"/>
      <c r="S1068" s="576"/>
      <c r="T1068" s="576"/>
      <c r="U1068" s="576"/>
      <c r="V1068" s="576"/>
      <c r="W1068" s="576"/>
      <c r="X1068" s="576"/>
      <c r="Y1068" s="576"/>
      <c r="Z1068" s="576"/>
    </row>
    <row r="1069" spans="1:26" ht="18.75">
      <c r="A1069" s="680"/>
      <c r="B1069" s="680"/>
      <c r="C1069" s="680"/>
      <c r="D1069" s="910"/>
      <c r="E1069" s="680"/>
      <c r="F1069" s="680"/>
      <c r="G1069" s="680"/>
      <c r="H1069" s="911"/>
      <c r="I1069" s="912"/>
      <c r="J1069" s="912"/>
      <c r="K1069" s="913"/>
      <c r="L1069" s="913"/>
      <c r="M1069" s="913"/>
      <c r="N1069" s="913"/>
      <c r="O1069" s="913"/>
      <c r="P1069" s="913"/>
      <c r="Q1069" s="576"/>
      <c r="R1069" s="576"/>
      <c r="S1069" s="576"/>
      <c r="T1069" s="576"/>
      <c r="U1069" s="576"/>
      <c r="V1069" s="576"/>
      <c r="W1069" s="576"/>
      <c r="X1069" s="576"/>
      <c r="Y1069" s="576"/>
      <c r="Z1069" s="576"/>
    </row>
    <row r="1070" spans="1:26" ht="18.75">
      <c r="A1070" s="680"/>
      <c r="B1070" s="680"/>
      <c r="C1070" s="680"/>
      <c r="D1070" s="910"/>
      <c r="E1070" s="680"/>
      <c r="F1070" s="680"/>
      <c r="G1070" s="680"/>
      <c r="H1070" s="911"/>
      <c r="I1070" s="912"/>
      <c r="J1070" s="912"/>
      <c r="K1070" s="913"/>
      <c r="L1070" s="913"/>
      <c r="M1070" s="913"/>
      <c r="N1070" s="913"/>
      <c r="O1070" s="913"/>
      <c r="P1070" s="913"/>
      <c r="Q1070" s="576"/>
      <c r="R1070" s="576"/>
      <c r="S1070" s="576"/>
      <c r="T1070" s="576"/>
      <c r="U1070" s="576"/>
      <c r="V1070" s="576"/>
      <c r="W1070" s="576"/>
      <c r="X1070" s="576"/>
      <c r="Y1070" s="576"/>
      <c r="Z1070" s="576"/>
    </row>
    <row r="1071" spans="1:26" ht="18.75">
      <c r="A1071" s="680"/>
      <c r="B1071" s="680"/>
      <c r="C1071" s="680"/>
      <c r="D1071" s="910"/>
      <c r="E1071" s="680"/>
      <c r="F1071" s="680"/>
      <c r="G1071" s="680"/>
      <c r="H1071" s="911"/>
      <c r="I1071" s="912"/>
      <c r="J1071" s="912"/>
      <c r="K1071" s="913"/>
      <c r="L1071" s="913"/>
      <c r="M1071" s="913"/>
      <c r="N1071" s="913"/>
      <c r="O1071" s="913"/>
      <c r="P1071" s="913"/>
      <c r="Q1071" s="576"/>
      <c r="R1071" s="576"/>
      <c r="S1071" s="576"/>
      <c r="T1071" s="576"/>
      <c r="U1071" s="576"/>
      <c r="V1071" s="576"/>
      <c r="W1071" s="576"/>
      <c r="X1071" s="576"/>
      <c r="Y1071" s="576"/>
      <c r="Z1071" s="576"/>
    </row>
    <row r="1072" spans="1:26" ht="18.75">
      <c r="A1072" s="680"/>
      <c r="B1072" s="680"/>
      <c r="C1072" s="680"/>
      <c r="D1072" s="910"/>
      <c r="E1072" s="680"/>
      <c r="F1072" s="680"/>
      <c r="G1072" s="680"/>
      <c r="H1072" s="911"/>
      <c r="I1072" s="912"/>
      <c r="J1072" s="912"/>
      <c r="K1072" s="913"/>
      <c r="L1072" s="913"/>
      <c r="M1072" s="913"/>
      <c r="N1072" s="913"/>
      <c r="O1072" s="913"/>
      <c r="P1072" s="913"/>
      <c r="Q1072" s="576"/>
      <c r="R1072" s="576"/>
      <c r="S1072" s="576"/>
      <c r="T1072" s="576"/>
      <c r="U1072" s="576"/>
      <c r="V1072" s="576"/>
      <c r="W1072" s="576"/>
      <c r="X1072" s="576"/>
      <c r="Y1072" s="576"/>
      <c r="Z1072" s="576"/>
    </row>
    <row r="1073" spans="1:26" ht="18.75">
      <c r="A1073" s="680"/>
      <c r="B1073" s="680"/>
      <c r="C1073" s="680"/>
      <c r="D1073" s="910"/>
      <c r="E1073" s="680"/>
      <c r="F1073" s="680"/>
      <c r="G1073" s="680"/>
      <c r="H1073" s="911"/>
      <c r="I1073" s="912"/>
      <c r="J1073" s="912"/>
      <c r="K1073" s="913"/>
      <c r="L1073" s="913"/>
      <c r="M1073" s="913"/>
      <c r="N1073" s="913"/>
      <c r="O1073" s="913"/>
      <c r="P1073" s="913"/>
      <c r="Q1073" s="576"/>
      <c r="R1073" s="576"/>
      <c r="S1073" s="576"/>
      <c r="T1073" s="576"/>
      <c r="U1073" s="576"/>
      <c r="V1073" s="576"/>
      <c r="W1073" s="576"/>
      <c r="X1073" s="576"/>
      <c r="Y1073" s="576"/>
      <c r="Z1073" s="576"/>
    </row>
    <row r="1074" spans="1:26" ht="18.75">
      <c r="A1074" s="680"/>
      <c r="B1074" s="680"/>
      <c r="C1074" s="680"/>
      <c r="D1074" s="910"/>
      <c r="E1074" s="680"/>
      <c r="F1074" s="680"/>
      <c r="G1074" s="680"/>
      <c r="H1074" s="911"/>
      <c r="I1074" s="912"/>
      <c r="J1074" s="912"/>
      <c r="K1074" s="913"/>
      <c r="L1074" s="913"/>
      <c r="M1074" s="913"/>
      <c r="N1074" s="913"/>
      <c r="O1074" s="913"/>
      <c r="P1074" s="913"/>
      <c r="Q1074" s="576"/>
      <c r="R1074" s="576"/>
      <c r="S1074" s="576"/>
      <c r="T1074" s="576"/>
      <c r="U1074" s="576"/>
      <c r="V1074" s="576"/>
      <c r="W1074" s="576"/>
      <c r="X1074" s="576"/>
      <c r="Y1074" s="576"/>
      <c r="Z1074" s="576"/>
    </row>
    <row r="1075" spans="1:26" ht="18.75">
      <c r="A1075" s="680"/>
      <c r="B1075" s="680"/>
      <c r="C1075" s="680"/>
      <c r="D1075" s="910"/>
      <c r="E1075" s="680"/>
      <c r="F1075" s="680"/>
      <c r="G1075" s="680"/>
      <c r="H1075" s="911"/>
      <c r="I1075" s="912"/>
      <c r="J1075" s="912"/>
      <c r="K1075" s="913"/>
      <c r="L1075" s="913"/>
      <c r="M1075" s="913"/>
      <c r="N1075" s="913"/>
      <c r="O1075" s="913"/>
      <c r="P1075" s="913"/>
      <c r="Q1075" s="576"/>
      <c r="R1075" s="576"/>
      <c r="S1075" s="576"/>
      <c r="T1075" s="576"/>
      <c r="U1075" s="576"/>
      <c r="V1075" s="576"/>
      <c r="W1075" s="576"/>
      <c r="X1075" s="576"/>
      <c r="Y1075" s="576"/>
      <c r="Z1075" s="576"/>
    </row>
    <row r="1076" spans="1:26" ht="18.75">
      <c r="A1076" s="680"/>
      <c r="B1076" s="680"/>
      <c r="C1076" s="680"/>
      <c r="D1076" s="910"/>
      <c r="E1076" s="680"/>
      <c r="F1076" s="680"/>
      <c r="G1076" s="680"/>
      <c r="H1076" s="911"/>
      <c r="I1076" s="912"/>
      <c r="J1076" s="912"/>
      <c r="K1076" s="913"/>
      <c r="L1076" s="913"/>
      <c r="M1076" s="913"/>
      <c r="N1076" s="913"/>
      <c r="O1076" s="913"/>
      <c r="P1076" s="913"/>
      <c r="Q1076" s="576"/>
      <c r="R1076" s="576"/>
      <c r="S1076" s="576"/>
      <c r="T1076" s="576"/>
      <c r="U1076" s="576"/>
      <c r="V1076" s="576"/>
      <c r="W1076" s="576"/>
      <c r="X1076" s="576"/>
      <c r="Y1076" s="576"/>
      <c r="Z1076" s="576"/>
    </row>
    <row r="1077" spans="1:26" ht="18.75">
      <c r="A1077" s="680"/>
      <c r="B1077" s="680"/>
      <c r="C1077" s="680"/>
      <c r="D1077" s="910"/>
      <c r="E1077" s="680"/>
      <c r="F1077" s="680"/>
      <c r="G1077" s="680"/>
      <c r="H1077" s="911"/>
      <c r="I1077" s="912"/>
      <c r="J1077" s="912"/>
      <c r="K1077" s="913"/>
      <c r="L1077" s="913"/>
      <c r="M1077" s="913"/>
      <c r="N1077" s="913"/>
      <c r="O1077" s="913"/>
      <c r="P1077" s="913"/>
      <c r="Q1077" s="576"/>
      <c r="R1077" s="576"/>
      <c r="S1077" s="576"/>
      <c r="T1077" s="576"/>
      <c r="U1077" s="576"/>
      <c r="V1077" s="576"/>
      <c r="W1077" s="576"/>
      <c r="X1077" s="576"/>
      <c r="Y1077" s="576"/>
      <c r="Z1077" s="576"/>
    </row>
    <row r="1078" spans="1:26" ht="18.75">
      <c r="A1078" s="680"/>
      <c r="B1078" s="680"/>
      <c r="C1078" s="680"/>
      <c r="D1078" s="910"/>
      <c r="E1078" s="680"/>
      <c r="F1078" s="680"/>
      <c r="G1078" s="680"/>
      <c r="H1078" s="911"/>
      <c r="I1078" s="912"/>
      <c r="J1078" s="912"/>
      <c r="K1078" s="913"/>
      <c r="L1078" s="913"/>
      <c r="M1078" s="913"/>
      <c r="N1078" s="913"/>
      <c r="O1078" s="913"/>
      <c r="P1078" s="913"/>
      <c r="Q1078" s="576"/>
      <c r="R1078" s="576"/>
      <c r="S1078" s="576"/>
      <c r="T1078" s="576"/>
      <c r="U1078" s="576"/>
      <c r="V1078" s="576"/>
      <c r="W1078" s="576"/>
      <c r="X1078" s="576"/>
      <c r="Y1078" s="576"/>
      <c r="Z1078" s="576"/>
    </row>
    <row r="1079" spans="1:26" ht="18.75">
      <c r="A1079" s="680"/>
      <c r="B1079" s="680"/>
      <c r="C1079" s="680"/>
      <c r="D1079" s="910"/>
      <c r="E1079" s="680"/>
      <c r="F1079" s="680"/>
      <c r="G1079" s="680"/>
      <c r="H1079" s="911"/>
      <c r="I1079" s="912"/>
      <c r="J1079" s="912"/>
      <c r="K1079" s="913"/>
      <c r="L1079" s="913"/>
      <c r="M1079" s="913"/>
      <c r="N1079" s="913"/>
      <c r="O1079" s="913"/>
      <c r="P1079" s="913"/>
      <c r="Q1079" s="576"/>
      <c r="R1079" s="576"/>
      <c r="S1079" s="576"/>
      <c r="T1079" s="576"/>
      <c r="U1079" s="576"/>
      <c r="V1079" s="576"/>
      <c r="W1079" s="576"/>
      <c r="X1079" s="576"/>
      <c r="Y1079" s="576"/>
      <c r="Z1079" s="576"/>
    </row>
    <row r="1080" spans="1:26" ht="18.75">
      <c r="A1080" s="680"/>
      <c r="B1080" s="680"/>
      <c r="C1080" s="680"/>
      <c r="D1080" s="910"/>
      <c r="E1080" s="680"/>
      <c r="F1080" s="680"/>
      <c r="G1080" s="680"/>
      <c r="H1080" s="911"/>
      <c r="I1080" s="912"/>
      <c r="J1080" s="912"/>
      <c r="K1080" s="913"/>
      <c r="L1080" s="913"/>
      <c r="M1080" s="913"/>
      <c r="N1080" s="913"/>
      <c r="O1080" s="913"/>
      <c r="P1080" s="913"/>
      <c r="Q1080" s="576"/>
      <c r="R1080" s="576"/>
      <c r="S1080" s="576"/>
      <c r="T1080" s="576"/>
      <c r="U1080" s="576"/>
      <c r="V1080" s="576"/>
      <c r="W1080" s="576"/>
      <c r="X1080" s="576"/>
      <c r="Y1080" s="576"/>
      <c r="Z1080" s="576"/>
    </row>
    <row r="1081" spans="1:26" ht="18.75">
      <c r="A1081" s="680"/>
      <c r="B1081" s="680"/>
      <c r="C1081" s="680"/>
      <c r="D1081" s="910"/>
      <c r="E1081" s="680"/>
      <c r="F1081" s="680"/>
      <c r="G1081" s="680"/>
      <c r="H1081" s="911"/>
      <c r="I1081" s="912"/>
      <c r="J1081" s="912"/>
      <c r="K1081" s="913"/>
      <c r="L1081" s="913"/>
      <c r="M1081" s="913"/>
      <c r="N1081" s="913"/>
      <c r="O1081" s="913"/>
      <c r="P1081" s="913"/>
      <c r="Q1081" s="576"/>
      <c r="R1081" s="576"/>
      <c r="S1081" s="576"/>
      <c r="T1081" s="576"/>
      <c r="U1081" s="576"/>
      <c r="V1081" s="576"/>
      <c r="W1081" s="576"/>
      <c r="X1081" s="576"/>
      <c r="Y1081" s="576"/>
      <c r="Z1081" s="576"/>
    </row>
    <row r="1082" spans="1:26" ht="18.75">
      <c r="A1082" s="680"/>
      <c r="B1082" s="680"/>
      <c r="C1082" s="680"/>
      <c r="D1082" s="910"/>
      <c r="E1082" s="680"/>
      <c r="F1082" s="680"/>
      <c r="G1082" s="680"/>
      <c r="H1082" s="911"/>
      <c r="I1082" s="912"/>
      <c r="J1082" s="912"/>
      <c r="K1082" s="913"/>
      <c r="L1082" s="913"/>
      <c r="M1082" s="913"/>
      <c r="N1082" s="913"/>
      <c r="O1082" s="913"/>
      <c r="P1082" s="913"/>
      <c r="Q1082" s="576"/>
      <c r="R1082" s="576"/>
      <c r="S1082" s="576"/>
      <c r="T1082" s="576"/>
      <c r="U1082" s="576"/>
      <c r="V1082" s="576"/>
      <c r="W1082" s="576"/>
      <c r="X1082" s="576"/>
      <c r="Y1082" s="576"/>
      <c r="Z1082" s="576"/>
    </row>
    <row r="1083" spans="1:26" ht="18.75">
      <c r="A1083" s="680"/>
      <c r="B1083" s="680"/>
      <c r="C1083" s="680"/>
      <c r="D1083" s="910"/>
      <c r="E1083" s="680"/>
      <c r="F1083" s="680"/>
      <c r="G1083" s="680"/>
      <c r="H1083" s="911"/>
      <c r="I1083" s="912"/>
      <c r="J1083" s="912"/>
      <c r="K1083" s="913"/>
      <c r="L1083" s="913"/>
      <c r="M1083" s="913"/>
      <c r="N1083" s="913"/>
      <c r="O1083" s="913"/>
      <c r="P1083" s="913"/>
      <c r="Q1083" s="576"/>
      <c r="R1083" s="576"/>
      <c r="S1083" s="576"/>
      <c r="T1083" s="576"/>
      <c r="U1083" s="576"/>
      <c r="V1083" s="576"/>
      <c r="W1083" s="576"/>
      <c r="X1083" s="576"/>
      <c r="Y1083" s="576"/>
      <c r="Z1083" s="576"/>
    </row>
    <row r="1084" spans="1:26" ht="18.75">
      <c r="A1084" s="680"/>
      <c r="B1084" s="680"/>
      <c r="C1084" s="680"/>
      <c r="D1084" s="910"/>
      <c r="E1084" s="680"/>
      <c r="F1084" s="680"/>
      <c r="G1084" s="680"/>
      <c r="H1084" s="911"/>
      <c r="I1084" s="912"/>
      <c r="J1084" s="912"/>
      <c r="K1084" s="913"/>
      <c r="L1084" s="913"/>
      <c r="M1084" s="913"/>
      <c r="N1084" s="913"/>
      <c r="O1084" s="913"/>
      <c r="P1084" s="913"/>
      <c r="Q1084" s="576"/>
      <c r="R1084" s="576"/>
      <c r="S1084" s="576"/>
      <c r="T1084" s="576"/>
      <c r="U1084" s="576"/>
      <c r="V1084" s="576"/>
      <c r="W1084" s="576"/>
      <c r="X1084" s="576"/>
      <c r="Y1084" s="576"/>
      <c r="Z1084" s="576"/>
    </row>
    <row r="1085" spans="1:26" ht="18.75">
      <c r="A1085" s="680"/>
      <c r="B1085" s="680"/>
      <c r="C1085" s="680"/>
      <c r="D1085" s="910"/>
      <c r="E1085" s="680"/>
      <c r="F1085" s="680"/>
      <c r="G1085" s="680"/>
      <c r="H1085" s="911"/>
      <c r="I1085" s="912"/>
      <c r="J1085" s="912"/>
      <c r="K1085" s="913"/>
      <c r="L1085" s="913"/>
      <c r="M1085" s="913"/>
      <c r="N1085" s="913"/>
      <c r="O1085" s="913"/>
      <c r="P1085" s="913"/>
      <c r="Q1085" s="576"/>
      <c r="R1085" s="576"/>
      <c r="S1085" s="576"/>
      <c r="T1085" s="576"/>
      <c r="U1085" s="576"/>
      <c r="V1085" s="576"/>
      <c r="W1085" s="576"/>
      <c r="X1085" s="576"/>
      <c r="Y1085" s="576"/>
      <c r="Z1085" s="576"/>
    </row>
    <row r="1086" spans="1:26" ht="18.75">
      <c r="A1086" s="680"/>
      <c r="B1086" s="680"/>
      <c r="C1086" s="680"/>
      <c r="D1086" s="910"/>
      <c r="E1086" s="680"/>
      <c r="F1086" s="680"/>
      <c r="G1086" s="680"/>
      <c r="H1086" s="911"/>
      <c r="I1086" s="912"/>
      <c r="J1086" s="912"/>
      <c r="K1086" s="913"/>
      <c r="L1086" s="913"/>
      <c r="M1086" s="913"/>
      <c r="N1086" s="913"/>
      <c r="O1086" s="913"/>
      <c r="P1086" s="913"/>
      <c r="Q1086" s="576"/>
      <c r="R1086" s="576"/>
      <c r="S1086" s="576"/>
      <c r="T1086" s="576"/>
      <c r="U1086" s="576"/>
      <c r="V1086" s="576"/>
      <c r="W1086" s="576"/>
      <c r="X1086" s="576"/>
      <c r="Y1086" s="576"/>
      <c r="Z1086" s="576"/>
    </row>
    <row r="1087" spans="1:26" ht="18.75">
      <c r="A1087" s="680"/>
      <c r="B1087" s="680"/>
      <c r="C1087" s="680"/>
      <c r="D1087" s="910"/>
      <c r="E1087" s="680"/>
      <c r="F1087" s="680"/>
      <c r="G1087" s="680"/>
      <c r="H1087" s="911"/>
      <c r="I1087" s="912"/>
      <c r="J1087" s="912"/>
      <c r="K1087" s="913"/>
      <c r="L1087" s="913"/>
      <c r="M1087" s="913"/>
      <c r="N1087" s="913"/>
      <c r="O1087" s="913"/>
      <c r="P1087" s="913"/>
      <c r="Q1087" s="576"/>
      <c r="R1087" s="576"/>
      <c r="S1087" s="576"/>
      <c r="T1087" s="576"/>
      <c r="U1087" s="576"/>
      <c r="V1087" s="576"/>
      <c r="W1087" s="576"/>
      <c r="X1087" s="576"/>
      <c r="Y1087" s="576"/>
      <c r="Z1087" s="576"/>
    </row>
    <row r="1088" spans="1:26" ht="18.75">
      <c r="A1088" s="680"/>
      <c r="B1088" s="680"/>
      <c r="C1088" s="680"/>
      <c r="D1088" s="910"/>
      <c r="E1088" s="680"/>
      <c r="F1088" s="680"/>
      <c r="G1088" s="680"/>
      <c r="H1088" s="911"/>
      <c r="I1088" s="912"/>
      <c r="J1088" s="912"/>
      <c r="K1088" s="913"/>
      <c r="L1088" s="913"/>
      <c r="M1088" s="913"/>
      <c r="N1088" s="913"/>
      <c r="O1088" s="913"/>
      <c r="P1088" s="913"/>
      <c r="Q1088" s="576"/>
      <c r="R1088" s="576"/>
      <c r="S1088" s="576"/>
      <c r="T1088" s="576"/>
      <c r="U1088" s="576"/>
      <c r="V1088" s="576"/>
      <c r="W1088" s="576"/>
      <c r="X1088" s="576"/>
      <c r="Y1088" s="576"/>
      <c r="Z1088" s="576"/>
    </row>
    <row r="1089" spans="1:26" ht="18.75">
      <c r="A1089" s="680"/>
      <c r="B1089" s="680"/>
      <c r="C1089" s="680"/>
      <c r="D1089" s="910"/>
      <c r="E1089" s="680"/>
      <c r="F1089" s="680"/>
      <c r="G1089" s="680"/>
      <c r="H1089" s="911"/>
      <c r="I1089" s="912"/>
      <c r="J1089" s="912"/>
      <c r="K1089" s="913"/>
      <c r="L1089" s="913"/>
      <c r="M1089" s="913"/>
      <c r="N1089" s="913"/>
      <c r="O1089" s="913"/>
      <c r="P1089" s="913"/>
      <c r="Q1089" s="576"/>
      <c r="R1089" s="576"/>
      <c r="S1089" s="576"/>
      <c r="T1089" s="576"/>
      <c r="U1089" s="576"/>
      <c r="V1089" s="576"/>
      <c r="W1089" s="576"/>
      <c r="X1089" s="576"/>
      <c r="Y1089" s="576"/>
      <c r="Z1089" s="576"/>
    </row>
    <row r="1090" spans="1:26" ht="18.75">
      <c r="A1090" s="680"/>
      <c r="B1090" s="680"/>
      <c r="C1090" s="680"/>
      <c r="D1090" s="910"/>
      <c r="E1090" s="680"/>
      <c r="F1090" s="680"/>
      <c r="G1090" s="680"/>
      <c r="H1090" s="911"/>
      <c r="I1090" s="912"/>
      <c r="J1090" s="912"/>
      <c r="K1090" s="913"/>
      <c r="L1090" s="913"/>
      <c r="M1090" s="913"/>
      <c r="N1090" s="913"/>
      <c r="O1090" s="913"/>
      <c r="P1090" s="913"/>
      <c r="Q1090" s="576"/>
      <c r="R1090" s="576"/>
      <c r="S1090" s="576"/>
      <c r="T1090" s="576"/>
      <c r="U1090" s="576"/>
      <c r="V1090" s="576"/>
      <c r="W1090" s="576"/>
      <c r="X1090" s="576"/>
      <c r="Y1090" s="576"/>
      <c r="Z1090" s="576"/>
    </row>
    <row r="1091" spans="1:26" ht="18.75">
      <c r="A1091" s="680"/>
      <c r="B1091" s="680"/>
      <c r="C1091" s="680"/>
      <c r="D1091" s="910"/>
      <c r="E1091" s="680"/>
      <c r="F1091" s="680"/>
      <c r="G1091" s="680"/>
      <c r="H1091" s="911"/>
      <c r="I1091" s="912"/>
      <c r="J1091" s="912"/>
      <c r="K1091" s="913"/>
      <c r="L1091" s="913"/>
      <c r="M1091" s="913"/>
      <c r="N1091" s="913"/>
      <c r="O1091" s="913"/>
      <c r="P1091" s="913"/>
      <c r="Q1091" s="576"/>
      <c r="R1091" s="576"/>
      <c r="S1091" s="576"/>
      <c r="T1091" s="576"/>
      <c r="U1091" s="576"/>
      <c r="V1091" s="576"/>
      <c r="W1091" s="576"/>
      <c r="X1091" s="576"/>
      <c r="Y1091" s="576"/>
      <c r="Z1091" s="576"/>
    </row>
    <row r="1092" spans="1:26" ht="18.75">
      <c r="A1092" s="680"/>
      <c r="B1092" s="680"/>
      <c r="C1092" s="680"/>
      <c r="D1092" s="910"/>
      <c r="E1092" s="680"/>
      <c r="F1092" s="680"/>
      <c r="G1092" s="680"/>
      <c r="H1092" s="911"/>
      <c r="I1092" s="912"/>
      <c r="J1092" s="912"/>
      <c r="K1092" s="913"/>
      <c r="L1092" s="913"/>
      <c r="M1092" s="913"/>
      <c r="N1092" s="913"/>
      <c r="O1092" s="913"/>
      <c r="P1092" s="913"/>
      <c r="Q1092" s="576"/>
      <c r="R1092" s="576"/>
      <c r="S1092" s="576"/>
      <c r="T1092" s="576"/>
      <c r="U1092" s="576"/>
      <c r="V1092" s="576"/>
      <c r="W1092" s="576"/>
      <c r="X1092" s="576"/>
      <c r="Y1092" s="576"/>
      <c r="Z1092" s="576"/>
    </row>
    <row r="1093" spans="1:26" ht="18.75">
      <c r="A1093" s="680"/>
      <c r="B1093" s="680"/>
      <c r="C1093" s="680"/>
      <c r="D1093" s="910"/>
      <c r="E1093" s="680"/>
      <c r="F1093" s="680"/>
      <c r="G1093" s="680"/>
      <c r="H1093" s="911"/>
      <c r="I1093" s="912"/>
      <c r="J1093" s="912"/>
      <c r="K1093" s="913"/>
      <c r="L1093" s="913"/>
      <c r="M1093" s="913"/>
      <c r="N1093" s="913"/>
      <c r="O1093" s="913"/>
      <c r="P1093" s="913"/>
      <c r="Q1093" s="576"/>
      <c r="R1093" s="576"/>
      <c r="S1093" s="576"/>
      <c r="T1093" s="576"/>
      <c r="U1093" s="576"/>
      <c r="V1093" s="576"/>
      <c r="W1093" s="576"/>
      <c r="X1093" s="576"/>
      <c r="Y1093" s="576"/>
      <c r="Z1093" s="576"/>
    </row>
    <row r="1094" spans="1:26" ht="18.75">
      <c r="A1094" s="680"/>
      <c r="B1094" s="680"/>
      <c r="C1094" s="680"/>
      <c r="D1094" s="910"/>
      <c r="E1094" s="680"/>
      <c r="F1094" s="680"/>
      <c r="G1094" s="680"/>
      <c r="H1094" s="911"/>
      <c r="I1094" s="912"/>
      <c r="J1094" s="912"/>
      <c r="K1094" s="913"/>
      <c r="L1094" s="913"/>
      <c r="M1094" s="913"/>
      <c r="N1094" s="913"/>
      <c r="O1094" s="913"/>
      <c r="P1094" s="913"/>
      <c r="Q1094" s="576"/>
      <c r="R1094" s="576"/>
      <c r="S1094" s="576"/>
      <c r="T1094" s="576"/>
      <c r="U1094" s="576"/>
      <c r="V1094" s="576"/>
      <c r="W1094" s="576"/>
      <c r="X1094" s="576"/>
      <c r="Y1094" s="576"/>
      <c r="Z1094" s="576"/>
    </row>
    <row r="1095" spans="1:26" ht="18.75">
      <c r="A1095" s="680"/>
      <c r="B1095" s="680"/>
      <c r="C1095" s="680"/>
      <c r="D1095" s="910"/>
      <c r="E1095" s="680"/>
      <c r="F1095" s="680"/>
      <c r="G1095" s="680"/>
      <c r="H1095" s="911"/>
      <c r="I1095" s="912"/>
      <c r="J1095" s="912"/>
      <c r="K1095" s="913"/>
      <c r="L1095" s="913"/>
      <c r="M1095" s="913"/>
      <c r="N1095" s="913"/>
      <c r="O1095" s="913"/>
      <c r="P1095" s="913"/>
      <c r="Q1095" s="576"/>
      <c r="R1095" s="576"/>
      <c r="S1095" s="576"/>
      <c r="T1095" s="576"/>
      <c r="U1095" s="576"/>
      <c r="V1095" s="576"/>
      <c r="W1095" s="576"/>
      <c r="X1095" s="576"/>
      <c r="Y1095" s="576"/>
      <c r="Z1095" s="576"/>
    </row>
    <row r="1096" spans="1:26" ht="18.75">
      <c r="A1096" s="680"/>
      <c r="B1096" s="680"/>
      <c r="C1096" s="680"/>
      <c r="D1096" s="910"/>
      <c r="E1096" s="680"/>
      <c r="F1096" s="680"/>
      <c r="G1096" s="680"/>
      <c r="H1096" s="911"/>
      <c r="I1096" s="912"/>
      <c r="J1096" s="912"/>
      <c r="K1096" s="913"/>
      <c r="L1096" s="913"/>
      <c r="M1096" s="913"/>
      <c r="N1096" s="913"/>
      <c r="O1096" s="913"/>
      <c r="P1096" s="913"/>
      <c r="Q1096" s="576"/>
      <c r="R1096" s="576"/>
      <c r="S1096" s="576"/>
      <c r="T1096" s="576"/>
      <c r="U1096" s="576"/>
      <c r="V1096" s="576"/>
      <c r="W1096" s="576"/>
      <c r="X1096" s="576"/>
      <c r="Y1096" s="576"/>
      <c r="Z1096" s="576"/>
    </row>
    <row r="1097" spans="1:26" ht="18.75">
      <c r="A1097" s="680"/>
      <c r="B1097" s="680"/>
      <c r="C1097" s="680"/>
      <c r="D1097" s="910"/>
      <c r="E1097" s="680"/>
      <c r="F1097" s="680"/>
      <c r="G1097" s="680"/>
      <c r="H1097" s="911"/>
      <c r="I1097" s="912"/>
      <c r="J1097" s="912"/>
      <c r="K1097" s="913"/>
      <c r="L1097" s="913"/>
      <c r="M1097" s="913"/>
      <c r="N1097" s="913"/>
      <c r="O1097" s="913"/>
      <c r="P1097" s="913"/>
      <c r="Q1097" s="576"/>
      <c r="R1097" s="576"/>
      <c r="S1097" s="576"/>
      <c r="T1097" s="576"/>
      <c r="U1097" s="576"/>
      <c r="V1097" s="576"/>
      <c r="W1097" s="576"/>
      <c r="X1097" s="576"/>
      <c r="Y1097" s="576"/>
      <c r="Z1097" s="576"/>
    </row>
    <row r="1098" spans="1:26" ht="18.75">
      <c r="A1098" s="680"/>
      <c r="B1098" s="680"/>
      <c r="C1098" s="680"/>
      <c r="D1098" s="910"/>
      <c r="E1098" s="680"/>
      <c r="F1098" s="680"/>
      <c r="G1098" s="680"/>
      <c r="H1098" s="911"/>
      <c r="I1098" s="912"/>
      <c r="J1098" s="912"/>
      <c r="K1098" s="913"/>
      <c r="L1098" s="913"/>
      <c r="M1098" s="913"/>
      <c r="N1098" s="913"/>
      <c r="O1098" s="913"/>
      <c r="P1098" s="913"/>
      <c r="Q1098" s="576"/>
      <c r="R1098" s="576"/>
      <c r="S1098" s="576"/>
      <c r="T1098" s="576"/>
      <c r="U1098" s="576"/>
      <c r="V1098" s="576"/>
      <c r="W1098" s="576"/>
      <c r="X1098" s="576"/>
      <c r="Y1098" s="576"/>
      <c r="Z1098" s="576"/>
    </row>
    <row r="1099" spans="1:26" ht="18.75">
      <c r="A1099" s="680"/>
      <c r="B1099" s="680"/>
      <c r="C1099" s="680"/>
      <c r="D1099" s="910"/>
      <c r="E1099" s="680"/>
      <c r="F1099" s="680"/>
      <c r="G1099" s="680"/>
      <c r="H1099" s="911"/>
      <c r="I1099" s="912"/>
      <c r="J1099" s="912"/>
      <c r="K1099" s="913"/>
      <c r="L1099" s="913"/>
      <c r="M1099" s="913"/>
      <c r="N1099" s="913"/>
      <c r="O1099" s="913"/>
      <c r="P1099" s="913"/>
      <c r="Q1099" s="576"/>
      <c r="R1099" s="576"/>
      <c r="S1099" s="576"/>
      <c r="T1099" s="576"/>
      <c r="U1099" s="576"/>
      <c r="V1099" s="576"/>
      <c r="W1099" s="576"/>
      <c r="X1099" s="576"/>
      <c r="Y1099" s="576"/>
      <c r="Z1099" s="576"/>
    </row>
    <row r="1100" spans="1:26" ht="18.75">
      <c r="A1100" s="680"/>
      <c r="B1100" s="680"/>
      <c r="C1100" s="680"/>
      <c r="D1100" s="910"/>
      <c r="E1100" s="680"/>
      <c r="F1100" s="680"/>
      <c r="G1100" s="680"/>
      <c r="H1100" s="911"/>
      <c r="I1100" s="912"/>
      <c r="J1100" s="912"/>
      <c r="K1100" s="913"/>
      <c r="L1100" s="913"/>
      <c r="M1100" s="913"/>
      <c r="N1100" s="913"/>
      <c r="O1100" s="913"/>
      <c r="P1100" s="913"/>
      <c r="Q1100" s="576"/>
      <c r="R1100" s="576"/>
      <c r="S1100" s="576"/>
      <c r="T1100" s="576"/>
      <c r="U1100" s="576"/>
      <c r="V1100" s="576"/>
      <c r="W1100" s="576"/>
      <c r="X1100" s="576"/>
      <c r="Y1100" s="576"/>
      <c r="Z1100" s="576"/>
    </row>
    <row r="1101" spans="1:26" ht="18.75">
      <c r="A1101" s="680"/>
      <c r="B1101" s="680"/>
      <c r="C1101" s="680"/>
      <c r="D1101" s="910"/>
      <c r="E1101" s="680"/>
      <c r="F1101" s="680"/>
      <c r="G1101" s="680"/>
      <c r="H1101" s="911"/>
      <c r="I1101" s="912"/>
      <c r="J1101" s="912"/>
      <c r="K1101" s="913"/>
      <c r="L1101" s="913"/>
      <c r="M1101" s="913"/>
      <c r="N1101" s="913"/>
      <c r="O1101" s="913"/>
      <c r="P1101" s="913"/>
      <c r="Q1101" s="576"/>
      <c r="R1101" s="576"/>
      <c r="S1101" s="576"/>
      <c r="T1101" s="576"/>
      <c r="U1101" s="576"/>
      <c r="V1101" s="576"/>
      <c r="W1101" s="576"/>
      <c r="X1101" s="576"/>
      <c r="Y1101" s="576"/>
      <c r="Z1101" s="576"/>
    </row>
    <row r="1102" spans="1:26" ht="18.75">
      <c r="A1102" s="680"/>
      <c r="B1102" s="680"/>
      <c r="C1102" s="680"/>
      <c r="D1102" s="910"/>
      <c r="E1102" s="680"/>
      <c r="F1102" s="680"/>
      <c r="G1102" s="680"/>
      <c r="H1102" s="911"/>
      <c r="I1102" s="912"/>
      <c r="J1102" s="912"/>
      <c r="K1102" s="913"/>
      <c r="L1102" s="913"/>
      <c r="M1102" s="913"/>
      <c r="N1102" s="913"/>
      <c r="O1102" s="913"/>
      <c r="P1102" s="913"/>
      <c r="Q1102" s="576"/>
      <c r="R1102" s="576"/>
      <c r="S1102" s="576"/>
      <c r="T1102" s="576"/>
      <c r="U1102" s="576"/>
      <c r="V1102" s="576"/>
      <c r="W1102" s="576"/>
      <c r="X1102" s="576"/>
      <c r="Y1102" s="576"/>
      <c r="Z1102" s="576"/>
    </row>
    <row r="1103" spans="1:26" ht="18.75">
      <c r="A1103" s="680"/>
      <c r="B1103" s="680"/>
      <c r="C1103" s="680"/>
      <c r="D1103" s="910"/>
      <c r="E1103" s="680"/>
      <c r="F1103" s="680"/>
      <c r="G1103" s="680"/>
      <c r="H1103" s="911"/>
      <c r="I1103" s="912"/>
      <c r="J1103" s="912"/>
      <c r="K1103" s="913"/>
      <c r="L1103" s="913"/>
      <c r="M1103" s="913"/>
      <c r="N1103" s="913"/>
      <c r="O1103" s="913"/>
      <c r="P1103" s="913"/>
      <c r="Q1103" s="576"/>
      <c r="R1103" s="576"/>
      <c r="S1103" s="576"/>
      <c r="T1103" s="576"/>
      <c r="U1103" s="576"/>
      <c r="V1103" s="576"/>
      <c r="W1103" s="576"/>
      <c r="X1103" s="576"/>
      <c r="Y1103" s="576"/>
      <c r="Z1103" s="576"/>
    </row>
    <row r="1104" spans="1:26" ht="18.75">
      <c r="A1104" s="680"/>
      <c r="B1104" s="680"/>
      <c r="C1104" s="680"/>
      <c r="D1104" s="910"/>
      <c r="E1104" s="680"/>
      <c r="F1104" s="680"/>
      <c r="G1104" s="680"/>
      <c r="H1104" s="911"/>
      <c r="I1104" s="912"/>
      <c r="J1104" s="912"/>
      <c r="K1104" s="913"/>
      <c r="L1104" s="913"/>
      <c r="M1104" s="913"/>
      <c r="N1104" s="913"/>
      <c r="O1104" s="913"/>
      <c r="P1104" s="913"/>
      <c r="Q1104" s="576"/>
      <c r="R1104" s="576"/>
      <c r="S1104" s="576"/>
      <c r="T1104" s="576"/>
      <c r="U1104" s="576"/>
      <c r="V1104" s="576"/>
      <c r="W1104" s="576"/>
      <c r="X1104" s="576"/>
      <c r="Y1104" s="576"/>
      <c r="Z1104" s="576"/>
    </row>
    <row r="1105" spans="1:26" ht="18.75">
      <c r="A1105" s="680"/>
      <c r="B1105" s="680"/>
      <c r="C1105" s="680"/>
      <c r="D1105" s="910"/>
      <c r="E1105" s="680"/>
      <c r="F1105" s="680"/>
      <c r="G1105" s="680"/>
      <c r="H1105" s="911"/>
      <c r="I1105" s="912"/>
      <c r="J1105" s="912"/>
      <c r="K1105" s="913"/>
      <c r="L1105" s="913"/>
      <c r="M1105" s="913"/>
      <c r="N1105" s="913"/>
      <c r="O1105" s="913"/>
      <c r="P1105" s="913"/>
      <c r="Q1105" s="576"/>
      <c r="R1105" s="576"/>
      <c r="S1105" s="576"/>
      <c r="T1105" s="576"/>
      <c r="U1105" s="576"/>
      <c r="V1105" s="576"/>
      <c r="W1105" s="576"/>
      <c r="X1105" s="576"/>
      <c r="Y1105" s="576"/>
      <c r="Z1105" s="576"/>
    </row>
    <row r="1106" spans="1:26" ht="18.75">
      <c r="A1106" s="680"/>
      <c r="B1106" s="680"/>
      <c r="C1106" s="680"/>
      <c r="D1106" s="910"/>
      <c r="E1106" s="680"/>
      <c r="F1106" s="680"/>
      <c r="G1106" s="680"/>
      <c r="H1106" s="911"/>
      <c r="I1106" s="912"/>
      <c r="J1106" s="912"/>
      <c r="K1106" s="913"/>
      <c r="L1106" s="913"/>
      <c r="M1106" s="913"/>
      <c r="N1106" s="913"/>
      <c r="O1106" s="913"/>
      <c r="P1106" s="913"/>
      <c r="Q1106" s="576"/>
      <c r="R1106" s="576"/>
      <c r="S1106" s="576"/>
      <c r="T1106" s="576"/>
      <c r="U1106" s="576"/>
      <c r="V1106" s="576"/>
      <c r="W1106" s="576"/>
      <c r="X1106" s="576"/>
      <c r="Y1106" s="576"/>
      <c r="Z1106" s="576"/>
    </row>
    <row r="1107" spans="1:26" ht="18.75">
      <c r="A1107" s="680"/>
      <c r="B1107" s="680"/>
      <c r="C1107" s="680"/>
      <c r="D1107" s="910"/>
      <c r="E1107" s="680"/>
      <c r="F1107" s="680"/>
      <c r="G1107" s="680"/>
      <c r="H1107" s="911"/>
      <c r="I1107" s="912"/>
      <c r="J1107" s="912"/>
      <c r="K1107" s="913"/>
      <c r="L1107" s="913"/>
      <c r="M1107" s="913"/>
      <c r="N1107" s="913"/>
      <c r="O1107" s="913"/>
      <c r="P1107" s="913"/>
      <c r="Q1107" s="576"/>
      <c r="R1107" s="576"/>
      <c r="S1107" s="576"/>
      <c r="T1107" s="576"/>
      <c r="U1107" s="576"/>
      <c r="V1107" s="576"/>
      <c r="W1107" s="576"/>
      <c r="X1107" s="576"/>
      <c r="Y1107" s="576"/>
      <c r="Z1107" s="576"/>
    </row>
    <row r="1108" spans="1:26" ht="18.75">
      <c r="A1108" s="680"/>
      <c r="B1108" s="680"/>
      <c r="C1108" s="680"/>
      <c r="D1108" s="910"/>
      <c r="E1108" s="680"/>
      <c r="F1108" s="680"/>
      <c r="G1108" s="680"/>
      <c r="H1108" s="911"/>
      <c r="I1108" s="912"/>
      <c r="J1108" s="912"/>
      <c r="K1108" s="913"/>
      <c r="L1108" s="913"/>
      <c r="M1108" s="913"/>
      <c r="N1108" s="913"/>
      <c r="O1108" s="913"/>
      <c r="P1108" s="913"/>
      <c r="Q1108" s="576"/>
      <c r="R1108" s="576"/>
      <c r="S1108" s="576"/>
      <c r="T1108" s="576"/>
      <c r="U1108" s="576"/>
      <c r="V1108" s="576"/>
      <c r="W1108" s="576"/>
      <c r="X1108" s="576"/>
      <c r="Y1108" s="576"/>
      <c r="Z1108" s="576"/>
    </row>
    <row r="1109" spans="1:26" ht="18.75">
      <c r="A1109" s="680"/>
      <c r="B1109" s="680"/>
      <c r="C1109" s="680"/>
      <c r="D1109" s="910"/>
      <c r="E1109" s="680"/>
      <c r="F1109" s="680"/>
      <c r="G1109" s="680"/>
      <c r="H1109" s="911"/>
      <c r="I1109" s="912"/>
      <c r="J1109" s="912"/>
      <c r="K1109" s="913"/>
      <c r="L1109" s="913"/>
      <c r="M1109" s="913"/>
      <c r="N1109" s="913"/>
      <c r="O1109" s="913"/>
      <c r="P1109" s="913"/>
      <c r="Q1109" s="576"/>
      <c r="R1109" s="576"/>
      <c r="S1109" s="576"/>
      <c r="T1109" s="576"/>
      <c r="U1109" s="576"/>
      <c r="V1109" s="576"/>
      <c r="W1109" s="576"/>
      <c r="X1109" s="576"/>
      <c r="Y1109" s="576"/>
      <c r="Z1109" s="576"/>
    </row>
    <row r="1110" spans="1:26" ht="18.75">
      <c r="A1110" s="680"/>
      <c r="B1110" s="680"/>
      <c r="C1110" s="680"/>
      <c r="D1110" s="910"/>
      <c r="E1110" s="680"/>
      <c r="F1110" s="680"/>
      <c r="G1110" s="680"/>
      <c r="H1110" s="911"/>
      <c r="I1110" s="912"/>
      <c r="J1110" s="912"/>
      <c r="K1110" s="913"/>
      <c r="L1110" s="913"/>
      <c r="M1110" s="913"/>
      <c r="N1110" s="913"/>
      <c r="O1110" s="913"/>
      <c r="P1110" s="913"/>
      <c r="Q1110" s="576"/>
      <c r="R1110" s="576"/>
      <c r="S1110" s="576"/>
      <c r="T1110" s="576"/>
      <c r="U1110" s="576"/>
      <c r="V1110" s="576"/>
      <c r="W1110" s="576"/>
      <c r="X1110" s="576"/>
      <c r="Y1110" s="576"/>
      <c r="Z1110" s="576"/>
    </row>
    <row r="1111" spans="1:26" ht="18.75">
      <c r="A1111" s="680"/>
      <c r="B1111" s="680"/>
      <c r="C1111" s="680"/>
      <c r="D1111" s="910"/>
      <c r="E1111" s="680"/>
      <c r="F1111" s="680"/>
      <c r="G1111" s="680"/>
      <c r="H1111" s="911"/>
      <c r="I1111" s="912"/>
      <c r="J1111" s="912"/>
      <c r="K1111" s="913"/>
      <c r="L1111" s="913"/>
      <c r="M1111" s="913"/>
      <c r="N1111" s="913"/>
      <c r="O1111" s="913"/>
      <c r="P1111" s="913"/>
      <c r="Q1111" s="576"/>
      <c r="R1111" s="576"/>
      <c r="S1111" s="576"/>
      <c r="T1111" s="576"/>
      <c r="U1111" s="576"/>
      <c r="V1111" s="576"/>
      <c r="W1111" s="576"/>
      <c r="X1111" s="576"/>
      <c r="Y1111" s="576"/>
      <c r="Z1111" s="576"/>
    </row>
    <row r="1112" spans="1:26" ht="18.75">
      <c r="A1112" s="680"/>
      <c r="B1112" s="680"/>
      <c r="C1112" s="680"/>
      <c r="D1112" s="910"/>
      <c r="E1112" s="680"/>
      <c r="F1112" s="680"/>
      <c r="G1112" s="680"/>
      <c r="H1112" s="911"/>
      <c r="I1112" s="912"/>
      <c r="J1112" s="912"/>
      <c r="K1112" s="913"/>
      <c r="L1112" s="913"/>
      <c r="M1112" s="913"/>
      <c r="N1112" s="913"/>
      <c r="O1112" s="913"/>
      <c r="P1112" s="913"/>
      <c r="Q1112" s="576"/>
      <c r="R1112" s="576"/>
      <c r="S1112" s="576"/>
      <c r="T1112" s="576"/>
      <c r="U1112" s="576"/>
      <c r="V1112" s="576"/>
      <c r="W1112" s="576"/>
      <c r="X1112" s="576"/>
      <c r="Y1112" s="576"/>
      <c r="Z1112" s="576"/>
    </row>
    <row r="1113" spans="1:26" ht="18.75">
      <c r="A1113" s="680"/>
      <c r="B1113" s="680"/>
      <c r="C1113" s="680"/>
      <c r="D1113" s="910"/>
      <c r="E1113" s="680"/>
      <c r="F1113" s="680"/>
      <c r="G1113" s="680"/>
      <c r="H1113" s="911"/>
      <c r="I1113" s="912"/>
      <c r="J1113" s="912"/>
      <c r="K1113" s="913"/>
      <c r="L1113" s="913"/>
      <c r="M1113" s="913"/>
      <c r="N1113" s="913"/>
      <c r="O1113" s="913"/>
      <c r="P1113" s="913"/>
      <c r="Q1113" s="576"/>
      <c r="R1113" s="576"/>
      <c r="S1113" s="576"/>
      <c r="T1113" s="576"/>
      <c r="U1113" s="576"/>
      <c r="V1113" s="576"/>
      <c r="W1113" s="576"/>
      <c r="X1113" s="576"/>
      <c r="Y1113" s="576"/>
      <c r="Z1113" s="576"/>
    </row>
    <row r="1114" spans="1:26" ht="18.75">
      <c r="A1114" s="680"/>
      <c r="B1114" s="680"/>
      <c r="C1114" s="680"/>
      <c r="D1114" s="910"/>
      <c r="E1114" s="680"/>
      <c r="F1114" s="680"/>
      <c r="G1114" s="680"/>
      <c r="H1114" s="911"/>
      <c r="I1114" s="912"/>
      <c r="J1114" s="912"/>
      <c r="K1114" s="913"/>
      <c r="L1114" s="913"/>
      <c r="M1114" s="913"/>
      <c r="N1114" s="913"/>
      <c r="O1114" s="913"/>
      <c r="P1114" s="913"/>
      <c r="Q1114" s="576"/>
      <c r="R1114" s="576"/>
      <c r="S1114" s="576"/>
      <c r="T1114" s="576"/>
      <c r="U1114" s="576"/>
      <c r="V1114" s="576"/>
      <c r="W1114" s="576"/>
      <c r="X1114" s="576"/>
      <c r="Y1114" s="576"/>
      <c r="Z1114" s="576"/>
    </row>
    <row r="1115" spans="1:26" ht="18.75">
      <c r="A1115" s="680"/>
      <c r="B1115" s="680"/>
      <c r="C1115" s="680"/>
      <c r="D1115" s="910"/>
      <c r="E1115" s="680"/>
      <c r="F1115" s="680"/>
      <c r="G1115" s="680"/>
      <c r="H1115" s="911"/>
      <c r="I1115" s="912"/>
      <c r="J1115" s="912"/>
      <c r="K1115" s="913"/>
      <c r="L1115" s="913"/>
      <c r="M1115" s="913"/>
      <c r="N1115" s="913"/>
      <c r="O1115" s="913"/>
      <c r="P1115" s="913"/>
      <c r="Q1115" s="576"/>
      <c r="R1115" s="576"/>
      <c r="S1115" s="576"/>
      <c r="T1115" s="576"/>
      <c r="U1115" s="576"/>
      <c r="V1115" s="576"/>
      <c r="W1115" s="576"/>
      <c r="X1115" s="576"/>
      <c r="Y1115" s="576"/>
      <c r="Z1115" s="576"/>
    </row>
    <row r="1116" spans="1:26" ht="18.75">
      <c r="A1116" s="680"/>
      <c r="B1116" s="680"/>
      <c r="C1116" s="680"/>
      <c r="D1116" s="910"/>
      <c r="E1116" s="680"/>
      <c r="F1116" s="680"/>
      <c r="G1116" s="680"/>
      <c r="H1116" s="911"/>
      <c r="I1116" s="912"/>
      <c r="J1116" s="912"/>
      <c r="K1116" s="913"/>
      <c r="L1116" s="913"/>
      <c r="M1116" s="913"/>
      <c r="N1116" s="913"/>
      <c r="O1116" s="913"/>
      <c r="P1116" s="913"/>
      <c r="Q1116" s="576"/>
      <c r="R1116" s="576"/>
      <c r="S1116" s="576"/>
      <c r="T1116" s="576"/>
      <c r="U1116" s="576"/>
      <c r="V1116" s="576"/>
      <c r="W1116" s="576"/>
      <c r="X1116" s="576"/>
      <c r="Y1116" s="576"/>
      <c r="Z1116" s="576"/>
    </row>
    <row r="1117" spans="1:26" ht="18.75">
      <c r="A1117" s="680"/>
      <c r="B1117" s="680"/>
      <c r="C1117" s="680"/>
      <c r="D1117" s="910"/>
      <c r="E1117" s="680"/>
      <c r="F1117" s="680"/>
      <c r="G1117" s="680"/>
      <c r="H1117" s="911"/>
      <c r="I1117" s="912"/>
      <c r="J1117" s="912"/>
      <c r="K1117" s="913"/>
      <c r="L1117" s="913"/>
      <c r="M1117" s="913"/>
      <c r="N1117" s="913"/>
      <c r="O1117" s="913"/>
      <c r="P1117" s="913"/>
      <c r="Q1117" s="576"/>
      <c r="R1117" s="576"/>
      <c r="S1117" s="576"/>
      <c r="T1117" s="576"/>
      <c r="U1117" s="576"/>
      <c r="V1117" s="576"/>
      <c r="W1117" s="576"/>
      <c r="X1117" s="576"/>
      <c r="Y1117" s="576"/>
      <c r="Z1117" s="576"/>
    </row>
    <row r="1118" spans="1:26" ht="18.75">
      <c r="A1118" s="680"/>
      <c r="B1118" s="680"/>
      <c r="C1118" s="680"/>
      <c r="D1118" s="910"/>
      <c r="E1118" s="680"/>
      <c r="F1118" s="680"/>
      <c r="G1118" s="680"/>
      <c r="H1118" s="911"/>
      <c r="I1118" s="912"/>
      <c r="J1118" s="912"/>
      <c r="K1118" s="913"/>
      <c r="L1118" s="913"/>
      <c r="M1118" s="913"/>
      <c r="N1118" s="913"/>
      <c r="O1118" s="913"/>
      <c r="P1118" s="913"/>
      <c r="Q1118" s="576"/>
      <c r="R1118" s="576"/>
      <c r="S1118" s="576"/>
      <c r="T1118" s="576"/>
      <c r="U1118" s="576"/>
      <c r="V1118" s="576"/>
      <c r="W1118" s="576"/>
      <c r="X1118" s="576"/>
      <c r="Y1118" s="576"/>
      <c r="Z1118" s="576"/>
    </row>
    <row r="1119" spans="1:26" ht="18.75">
      <c r="A1119" s="680"/>
      <c r="B1119" s="680"/>
      <c r="C1119" s="680"/>
      <c r="D1119" s="910"/>
      <c r="E1119" s="680"/>
      <c r="F1119" s="680"/>
      <c r="G1119" s="680"/>
      <c r="H1119" s="911"/>
      <c r="I1119" s="912"/>
      <c r="J1119" s="912"/>
      <c r="K1119" s="913"/>
      <c r="L1119" s="913"/>
      <c r="M1119" s="913"/>
      <c r="N1119" s="913"/>
      <c r="O1119" s="913"/>
      <c r="P1119" s="913"/>
      <c r="Q1119" s="576"/>
      <c r="R1119" s="576"/>
      <c r="S1119" s="576"/>
      <c r="T1119" s="576"/>
      <c r="U1119" s="576"/>
      <c r="V1119" s="576"/>
      <c r="W1119" s="576"/>
      <c r="X1119" s="576"/>
      <c r="Y1119" s="576"/>
      <c r="Z1119" s="576"/>
    </row>
    <row r="1120" spans="1:26" ht="18.75">
      <c r="A1120" s="680"/>
      <c r="B1120" s="680"/>
      <c r="C1120" s="680"/>
      <c r="D1120" s="910"/>
      <c r="E1120" s="680"/>
      <c r="F1120" s="680"/>
      <c r="G1120" s="680"/>
      <c r="H1120" s="911"/>
      <c r="I1120" s="912"/>
      <c r="J1120" s="912"/>
      <c r="K1120" s="913"/>
      <c r="L1120" s="913"/>
      <c r="M1120" s="913"/>
      <c r="N1120" s="913"/>
      <c r="O1120" s="913"/>
      <c r="P1120" s="913"/>
      <c r="Q1120" s="576"/>
      <c r="R1120" s="576"/>
      <c r="S1120" s="576"/>
      <c r="T1120" s="576"/>
      <c r="U1120" s="576"/>
      <c r="V1120" s="576"/>
      <c r="W1120" s="576"/>
      <c r="X1120" s="576"/>
      <c r="Y1120" s="576"/>
      <c r="Z1120" s="576"/>
    </row>
    <row r="1121" spans="1:26" ht="18.75">
      <c r="A1121" s="680"/>
      <c r="B1121" s="680"/>
      <c r="C1121" s="680"/>
      <c r="D1121" s="910"/>
      <c r="E1121" s="680"/>
      <c r="F1121" s="680"/>
      <c r="G1121" s="680"/>
      <c r="H1121" s="911"/>
      <c r="I1121" s="912"/>
      <c r="J1121" s="912"/>
      <c r="K1121" s="913"/>
      <c r="L1121" s="913"/>
      <c r="M1121" s="913"/>
      <c r="N1121" s="913"/>
      <c r="O1121" s="913"/>
      <c r="P1121" s="913"/>
      <c r="Q1121" s="576"/>
      <c r="R1121" s="576"/>
      <c r="S1121" s="576"/>
      <c r="T1121" s="576"/>
      <c r="U1121" s="576"/>
      <c r="V1121" s="576"/>
      <c r="W1121" s="576"/>
      <c r="X1121" s="576"/>
      <c r="Y1121" s="576"/>
      <c r="Z1121" s="576"/>
    </row>
    <row r="1122" spans="1:26" ht="18.75">
      <c r="A1122" s="680"/>
      <c r="B1122" s="680"/>
      <c r="C1122" s="680"/>
      <c r="D1122" s="910"/>
      <c r="E1122" s="680"/>
      <c r="F1122" s="680"/>
      <c r="G1122" s="680"/>
      <c r="H1122" s="911"/>
      <c r="I1122" s="912"/>
      <c r="J1122" s="912"/>
      <c r="K1122" s="913"/>
      <c r="L1122" s="913"/>
      <c r="M1122" s="913"/>
      <c r="N1122" s="913"/>
      <c r="O1122" s="913"/>
      <c r="P1122" s="913"/>
      <c r="Q1122" s="576"/>
      <c r="R1122" s="576"/>
      <c r="S1122" s="576"/>
      <c r="T1122" s="576"/>
      <c r="U1122" s="576"/>
      <c r="V1122" s="576"/>
      <c r="W1122" s="576"/>
      <c r="X1122" s="576"/>
      <c r="Y1122" s="576"/>
      <c r="Z1122" s="576"/>
    </row>
    <row r="1123" spans="1:26" ht="18.75">
      <c r="A1123" s="680"/>
      <c r="B1123" s="680"/>
      <c r="C1123" s="680"/>
      <c r="D1123" s="910"/>
      <c r="E1123" s="680"/>
      <c r="F1123" s="680"/>
      <c r="G1123" s="680"/>
      <c r="H1123" s="911"/>
      <c r="I1123" s="912"/>
      <c r="J1123" s="912"/>
      <c r="K1123" s="913"/>
      <c r="L1123" s="913"/>
      <c r="M1123" s="913"/>
      <c r="N1123" s="913"/>
      <c r="O1123" s="913"/>
      <c r="P1123" s="913"/>
      <c r="Q1123" s="576"/>
      <c r="R1123" s="576"/>
      <c r="S1123" s="576"/>
      <c r="T1123" s="576"/>
      <c r="U1123" s="576"/>
      <c r="V1123" s="576"/>
      <c r="W1123" s="576"/>
      <c r="X1123" s="576"/>
      <c r="Y1123" s="576"/>
      <c r="Z1123" s="576"/>
    </row>
    <row r="1124" spans="1:26" ht="18.75">
      <c r="A1124" s="680"/>
      <c r="B1124" s="680"/>
      <c r="C1124" s="680"/>
      <c r="D1124" s="910"/>
      <c r="E1124" s="680"/>
      <c r="F1124" s="680"/>
      <c r="G1124" s="680"/>
      <c r="H1124" s="911"/>
      <c r="I1124" s="912"/>
      <c r="J1124" s="912"/>
      <c r="K1124" s="913"/>
      <c r="L1124" s="913"/>
      <c r="M1124" s="913"/>
      <c r="N1124" s="913"/>
      <c r="O1124" s="913"/>
      <c r="P1124" s="913"/>
      <c r="Q1124" s="576"/>
      <c r="R1124" s="576"/>
      <c r="S1124" s="576"/>
      <c r="T1124" s="576"/>
      <c r="U1124" s="576"/>
      <c r="V1124" s="576"/>
      <c r="W1124" s="576"/>
      <c r="X1124" s="576"/>
      <c r="Y1124" s="576"/>
      <c r="Z1124" s="576"/>
    </row>
    <row r="1125" spans="1:26" ht="18.75">
      <c r="A1125" s="680"/>
      <c r="B1125" s="680"/>
      <c r="C1125" s="680"/>
      <c r="D1125" s="910"/>
      <c r="E1125" s="680"/>
      <c r="F1125" s="680"/>
      <c r="G1125" s="680"/>
      <c r="H1125" s="911"/>
      <c r="I1125" s="912"/>
      <c r="J1125" s="912"/>
      <c r="K1125" s="913"/>
      <c r="L1125" s="913"/>
      <c r="M1125" s="913"/>
      <c r="N1125" s="913"/>
      <c r="O1125" s="913"/>
      <c r="P1125" s="913"/>
      <c r="Q1125" s="576"/>
      <c r="R1125" s="576"/>
      <c r="S1125" s="576"/>
      <c r="T1125" s="576"/>
      <c r="U1125" s="576"/>
      <c r="V1125" s="576"/>
      <c r="W1125" s="576"/>
      <c r="X1125" s="576"/>
      <c r="Y1125" s="576"/>
      <c r="Z1125" s="576"/>
    </row>
    <row r="1126" spans="1:26" ht="18.75">
      <c r="A1126" s="680"/>
      <c r="B1126" s="680"/>
      <c r="C1126" s="680"/>
      <c r="D1126" s="910"/>
      <c r="E1126" s="680"/>
      <c r="F1126" s="680"/>
      <c r="G1126" s="680"/>
      <c r="H1126" s="911"/>
      <c r="I1126" s="912"/>
      <c r="J1126" s="912"/>
      <c r="K1126" s="913"/>
      <c r="L1126" s="913"/>
      <c r="M1126" s="913"/>
      <c r="N1126" s="913"/>
      <c r="O1126" s="913"/>
      <c r="P1126" s="913"/>
      <c r="Q1126" s="576"/>
      <c r="R1126" s="576"/>
      <c r="S1126" s="576"/>
      <c r="T1126" s="576"/>
      <c r="U1126" s="576"/>
      <c r="V1126" s="576"/>
      <c r="W1126" s="576"/>
      <c r="X1126" s="576"/>
      <c r="Y1126" s="576"/>
      <c r="Z1126" s="576"/>
    </row>
    <row r="1127" spans="1:26" ht="18.75">
      <c r="A1127" s="680"/>
      <c r="B1127" s="680"/>
      <c r="C1127" s="680"/>
      <c r="D1127" s="910"/>
      <c r="E1127" s="680"/>
      <c r="F1127" s="680"/>
      <c r="G1127" s="680"/>
      <c r="H1127" s="911"/>
      <c r="I1127" s="912"/>
      <c r="J1127" s="912"/>
      <c r="K1127" s="913"/>
      <c r="L1127" s="913"/>
      <c r="M1127" s="913"/>
      <c r="N1127" s="913"/>
      <c r="O1127" s="913"/>
      <c r="P1127" s="913"/>
      <c r="Q1127" s="576"/>
      <c r="R1127" s="576"/>
      <c r="S1127" s="576"/>
      <c r="T1127" s="576"/>
      <c r="U1127" s="576"/>
      <c r="V1127" s="576"/>
      <c r="W1127" s="576"/>
      <c r="X1127" s="576"/>
      <c r="Y1127" s="576"/>
      <c r="Z1127" s="576"/>
    </row>
    <row r="1128" spans="1:26" ht="18.75">
      <c r="A1128" s="680"/>
      <c r="B1128" s="680"/>
      <c r="C1128" s="680"/>
      <c r="D1128" s="910"/>
      <c r="E1128" s="680"/>
      <c r="F1128" s="680"/>
      <c r="G1128" s="680"/>
      <c r="H1128" s="911"/>
      <c r="I1128" s="912"/>
      <c r="J1128" s="912"/>
      <c r="K1128" s="913"/>
      <c r="L1128" s="913"/>
      <c r="M1128" s="913"/>
      <c r="N1128" s="913"/>
      <c r="O1128" s="913"/>
      <c r="P1128" s="913"/>
      <c r="Q1128" s="576"/>
      <c r="R1128" s="576"/>
      <c r="S1128" s="576"/>
      <c r="T1128" s="576"/>
      <c r="U1128" s="576"/>
      <c r="V1128" s="576"/>
      <c r="W1128" s="576"/>
      <c r="X1128" s="576"/>
      <c r="Y1128" s="576"/>
      <c r="Z1128" s="576"/>
    </row>
    <row r="1129" spans="1:26" ht="18.75">
      <c r="A1129" s="680"/>
      <c r="B1129" s="680"/>
      <c r="C1129" s="680"/>
      <c r="D1129" s="910"/>
      <c r="E1129" s="680"/>
      <c r="F1129" s="680"/>
      <c r="G1129" s="680"/>
      <c r="H1129" s="911"/>
      <c r="I1129" s="912"/>
      <c r="J1129" s="912"/>
      <c r="K1129" s="913"/>
      <c r="L1129" s="913"/>
      <c r="M1129" s="913"/>
      <c r="N1129" s="913"/>
      <c r="O1129" s="913"/>
      <c r="P1129" s="913"/>
      <c r="Q1129" s="576"/>
      <c r="R1129" s="576"/>
      <c r="S1129" s="576"/>
      <c r="T1129" s="576"/>
      <c r="U1129" s="576"/>
      <c r="V1129" s="576"/>
      <c r="W1129" s="576"/>
      <c r="X1129" s="576"/>
      <c r="Y1129" s="576"/>
      <c r="Z1129" s="576"/>
    </row>
    <row r="1130" spans="1:26" ht="18.75">
      <c r="A1130" s="680"/>
      <c r="B1130" s="680"/>
      <c r="C1130" s="680"/>
      <c r="D1130" s="910"/>
      <c r="E1130" s="680"/>
      <c r="F1130" s="680"/>
      <c r="G1130" s="680"/>
      <c r="H1130" s="911"/>
      <c r="I1130" s="912"/>
      <c r="J1130" s="912"/>
      <c r="K1130" s="913"/>
      <c r="L1130" s="913"/>
      <c r="M1130" s="913"/>
      <c r="N1130" s="913"/>
      <c r="O1130" s="913"/>
      <c r="P1130" s="913"/>
      <c r="Q1130" s="576"/>
      <c r="R1130" s="576"/>
      <c r="S1130" s="576"/>
      <c r="T1130" s="576"/>
      <c r="U1130" s="576"/>
      <c r="V1130" s="576"/>
      <c r="W1130" s="576"/>
      <c r="X1130" s="576"/>
      <c r="Y1130" s="576"/>
      <c r="Z1130" s="576"/>
    </row>
    <row r="1131" spans="1:26" ht="18.75">
      <c r="A1131" s="680"/>
      <c r="B1131" s="680"/>
      <c r="C1131" s="680"/>
      <c r="D1131" s="910"/>
      <c r="E1131" s="680"/>
      <c r="F1131" s="680"/>
      <c r="G1131" s="680"/>
      <c r="H1131" s="911"/>
      <c r="I1131" s="912"/>
      <c r="J1131" s="912"/>
      <c r="K1131" s="913"/>
      <c r="L1131" s="913"/>
      <c r="M1131" s="913"/>
      <c r="N1131" s="913"/>
      <c r="O1131" s="913"/>
      <c r="P1131" s="913"/>
      <c r="Q1131" s="576"/>
      <c r="R1131" s="576"/>
      <c r="S1131" s="576"/>
      <c r="T1131" s="576"/>
      <c r="U1131" s="576"/>
      <c r="V1131" s="576"/>
      <c r="W1131" s="576"/>
      <c r="X1131" s="576"/>
      <c r="Y1131" s="576"/>
      <c r="Z1131" s="576"/>
    </row>
    <row r="1132" spans="1:26" ht="18.75">
      <c r="A1132" s="680"/>
      <c r="B1132" s="680"/>
      <c r="C1132" s="680"/>
      <c r="D1132" s="910"/>
      <c r="E1132" s="680"/>
      <c r="F1132" s="680"/>
      <c r="G1132" s="680"/>
      <c r="H1132" s="911"/>
      <c r="I1132" s="912"/>
      <c r="J1132" s="912"/>
      <c r="K1132" s="913"/>
      <c r="L1132" s="913"/>
      <c r="M1132" s="913"/>
      <c r="N1132" s="913"/>
      <c r="O1132" s="913"/>
      <c r="P1132" s="913"/>
      <c r="Q1132" s="576"/>
      <c r="R1132" s="576"/>
      <c r="S1132" s="576"/>
      <c r="T1132" s="576"/>
      <c r="U1132" s="576"/>
      <c r="V1132" s="576"/>
      <c r="W1132" s="576"/>
      <c r="X1132" s="576"/>
      <c r="Y1132" s="576"/>
      <c r="Z1132" s="576"/>
    </row>
    <row r="1133" spans="1:26" ht="18.75">
      <c r="A1133" s="680"/>
      <c r="B1133" s="680"/>
      <c r="C1133" s="680"/>
      <c r="D1133" s="910"/>
      <c r="E1133" s="680"/>
      <c r="F1133" s="680"/>
      <c r="G1133" s="680"/>
      <c r="H1133" s="911"/>
      <c r="I1133" s="912"/>
      <c r="J1133" s="912"/>
      <c r="K1133" s="913"/>
      <c r="L1133" s="913"/>
      <c r="M1133" s="913"/>
      <c r="N1133" s="913"/>
      <c r="O1133" s="913"/>
      <c r="P1133" s="913"/>
      <c r="Q1133" s="576"/>
      <c r="R1133" s="576"/>
      <c r="S1133" s="576"/>
      <c r="T1133" s="576"/>
      <c r="U1133" s="576"/>
      <c r="V1133" s="576"/>
      <c r="W1133" s="576"/>
      <c r="X1133" s="576"/>
      <c r="Y1133" s="576"/>
      <c r="Z1133" s="576"/>
    </row>
    <row r="1134" spans="1:26" ht="18.75">
      <c r="A1134" s="680"/>
      <c r="B1134" s="680"/>
      <c r="C1134" s="680"/>
      <c r="D1134" s="910"/>
      <c r="E1134" s="680"/>
      <c r="F1134" s="680"/>
      <c r="G1134" s="680"/>
      <c r="H1134" s="911"/>
      <c r="I1134" s="912"/>
      <c r="J1134" s="912"/>
      <c r="K1134" s="913"/>
      <c r="L1134" s="913"/>
      <c r="M1134" s="913"/>
      <c r="N1134" s="913"/>
      <c r="O1134" s="913"/>
      <c r="P1134" s="913"/>
      <c r="Q1134" s="576"/>
      <c r="R1134" s="576"/>
      <c r="S1134" s="576"/>
      <c r="T1134" s="576"/>
      <c r="U1134" s="576"/>
      <c r="V1134" s="576"/>
      <c r="W1134" s="576"/>
      <c r="X1134" s="576"/>
      <c r="Y1134" s="576"/>
      <c r="Z1134" s="576"/>
    </row>
    <row r="1135" spans="1:26" ht="18.75">
      <c r="A1135" s="680"/>
      <c r="B1135" s="680"/>
      <c r="C1135" s="680"/>
      <c r="D1135" s="910"/>
      <c r="E1135" s="680"/>
      <c r="F1135" s="680"/>
      <c r="G1135" s="680"/>
      <c r="H1135" s="911"/>
      <c r="I1135" s="912"/>
      <c r="J1135" s="912"/>
      <c r="K1135" s="913"/>
      <c r="L1135" s="913"/>
      <c r="M1135" s="913"/>
      <c r="N1135" s="913"/>
      <c r="O1135" s="913"/>
      <c r="P1135" s="913"/>
      <c r="Q1135" s="576"/>
      <c r="R1135" s="576"/>
      <c r="S1135" s="576"/>
      <c r="T1135" s="576"/>
      <c r="U1135" s="576"/>
      <c r="V1135" s="576"/>
      <c r="W1135" s="576"/>
      <c r="X1135" s="576"/>
      <c r="Y1135" s="576"/>
      <c r="Z1135" s="576"/>
    </row>
    <row r="1136" spans="1:26" ht="18.75">
      <c r="A1136" s="680"/>
      <c r="B1136" s="680"/>
      <c r="C1136" s="680"/>
      <c r="D1136" s="910"/>
      <c r="E1136" s="680"/>
      <c r="F1136" s="680"/>
      <c r="G1136" s="680"/>
      <c r="H1136" s="911"/>
      <c r="I1136" s="912"/>
      <c r="J1136" s="912"/>
      <c r="K1136" s="913"/>
      <c r="L1136" s="913"/>
      <c r="M1136" s="913"/>
      <c r="N1136" s="913"/>
      <c r="O1136" s="913"/>
      <c r="P1136" s="913"/>
      <c r="Q1136" s="576"/>
      <c r="R1136" s="576"/>
      <c r="S1136" s="576"/>
      <c r="T1136" s="576"/>
      <c r="U1136" s="576"/>
      <c r="V1136" s="576"/>
      <c r="W1136" s="576"/>
      <c r="X1136" s="576"/>
      <c r="Y1136" s="576"/>
      <c r="Z1136" s="576"/>
    </row>
    <row r="1137" spans="1:26" ht="18.75">
      <c r="A1137" s="680"/>
      <c r="B1137" s="680"/>
      <c r="C1137" s="680"/>
      <c r="D1137" s="910"/>
      <c r="E1137" s="680"/>
      <c r="F1137" s="680"/>
      <c r="G1137" s="680"/>
      <c r="H1137" s="911"/>
      <c r="I1137" s="912"/>
      <c r="J1137" s="912"/>
      <c r="K1137" s="913"/>
      <c r="L1137" s="913"/>
      <c r="M1137" s="913"/>
      <c r="N1137" s="913"/>
      <c r="O1137" s="913"/>
      <c r="P1137" s="913"/>
      <c r="Q1137" s="576"/>
      <c r="R1137" s="576"/>
      <c r="S1137" s="576"/>
      <c r="T1137" s="576"/>
      <c r="U1137" s="576"/>
      <c r="V1137" s="576"/>
      <c r="W1137" s="576"/>
      <c r="X1137" s="576"/>
      <c r="Y1137" s="576"/>
      <c r="Z1137" s="576"/>
    </row>
    <row r="1138" spans="1:26" ht="18.75">
      <c r="A1138" s="680"/>
      <c r="B1138" s="680"/>
      <c r="C1138" s="680"/>
      <c r="D1138" s="910"/>
      <c r="E1138" s="680"/>
      <c r="F1138" s="680"/>
      <c r="G1138" s="680"/>
      <c r="H1138" s="911"/>
      <c r="I1138" s="912"/>
      <c r="J1138" s="912"/>
      <c r="K1138" s="913"/>
      <c r="L1138" s="913"/>
      <c r="M1138" s="913"/>
      <c r="N1138" s="913"/>
      <c r="O1138" s="913"/>
      <c r="P1138" s="913"/>
      <c r="Q1138" s="576"/>
      <c r="R1138" s="576"/>
      <c r="S1138" s="576"/>
      <c r="T1138" s="576"/>
      <c r="U1138" s="576"/>
      <c r="V1138" s="576"/>
      <c r="W1138" s="576"/>
      <c r="X1138" s="576"/>
      <c r="Y1138" s="576"/>
      <c r="Z1138" s="576"/>
    </row>
    <row r="1139" spans="1:26" ht="18.75">
      <c r="A1139" s="680"/>
      <c r="B1139" s="680"/>
      <c r="C1139" s="680"/>
      <c r="D1139" s="910"/>
      <c r="E1139" s="680"/>
      <c r="F1139" s="680"/>
      <c r="G1139" s="680"/>
      <c r="H1139" s="911"/>
      <c r="I1139" s="912"/>
      <c r="J1139" s="912"/>
      <c r="K1139" s="913"/>
      <c r="L1139" s="913"/>
      <c r="M1139" s="913"/>
      <c r="N1139" s="913"/>
      <c r="O1139" s="913"/>
      <c r="P1139" s="913"/>
      <c r="Q1139" s="576"/>
      <c r="R1139" s="576"/>
      <c r="S1139" s="576"/>
      <c r="T1139" s="576"/>
      <c r="U1139" s="576"/>
      <c r="V1139" s="576"/>
      <c r="W1139" s="576"/>
      <c r="X1139" s="576"/>
      <c r="Y1139" s="576"/>
      <c r="Z1139" s="576"/>
    </row>
    <row r="1140" spans="1:26" ht="18.75">
      <c r="A1140" s="680"/>
      <c r="B1140" s="680"/>
      <c r="C1140" s="680"/>
      <c r="D1140" s="910"/>
      <c r="E1140" s="680"/>
      <c r="F1140" s="680"/>
      <c r="G1140" s="680"/>
      <c r="H1140" s="911"/>
      <c r="I1140" s="912"/>
      <c r="J1140" s="912"/>
      <c r="K1140" s="913"/>
      <c r="L1140" s="913"/>
      <c r="M1140" s="913"/>
      <c r="N1140" s="913"/>
      <c r="O1140" s="913"/>
      <c r="P1140" s="913"/>
      <c r="Q1140" s="576"/>
      <c r="R1140" s="576"/>
      <c r="S1140" s="576"/>
      <c r="T1140" s="576"/>
      <c r="U1140" s="576"/>
      <c r="V1140" s="576"/>
      <c r="W1140" s="576"/>
      <c r="X1140" s="576"/>
      <c r="Y1140" s="576"/>
      <c r="Z1140" s="576"/>
    </row>
    <row r="1141" spans="1:26" ht="18.75">
      <c r="A1141" s="680"/>
      <c r="B1141" s="680"/>
      <c r="C1141" s="680"/>
      <c r="D1141" s="910"/>
      <c r="E1141" s="680"/>
      <c r="F1141" s="680"/>
      <c r="G1141" s="680"/>
      <c r="H1141" s="911"/>
      <c r="I1141" s="912"/>
      <c r="J1141" s="912"/>
      <c r="K1141" s="913"/>
      <c r="L1141" s="913"/>
      <c r="M1141" s="913"/>
      <c r="N1141" s="913"/>
      <c r="O1141" s="913"/>
      <c r="P1141" s="913"/>
      <c r="Q1141" s="576"/>
      <c r="R1141" s="576"/>
      <c r="S1141" s="576"/>
      <c r="T1141" s="576"/>
      <c r="U1141" s="576"/>
      <c r="V1141" s="576"/>
      <c r="W1141" s="576"/>
      <c r="X1141" s="576"/>
      <c r="Y1141" s="576"/>
      <c r="Z1141" s="576"/>
    </row>
    <row r="1142" spans="1:26" ht="18.75">
      <c r="A1142" s="680"/>
      <c r="B1142" s="680"/>
      <c r="C1142" s="680"/>
      <c r="D1142" s="910"/>
      <c r="E1142" s="680"/>
      <c r="F1142" s="680"/>
      <c r="G1142" s="680"/>
      <c r="H1142" s="911"/>
      <c r="I1142" s="912"/>
      <c r="J1142" s="912"/>
      <c r="K1142" s="913"/>
      <c r="L1142" s="913"/>
      <c r="M1142" s="913"/>
      <c r="N1142" s="913"/>
      <c r="O1142" s="913"/>
      <c r="P1142" s="913"/>
      <c r="Q1142" s="576"/>
      <c r="R1142" s="576"/>
      <c r="S1142" s="576"/>
      <c r="T1142" s="576"/>
      <c r="U1142" s="576"/>
      <c r="V1142" s="576"/>
      <c r="W1142" s="576"/>
      <c r="X1142" s="576"/>
      <c r="Y1142" s="576"/>
      <c r="Z1142" s="576"/>
    </row>
    <row r="1143" spans="1:26" ht="18.75">
      <c r="A1143" s="680"/>
      <c r="B1143" s="680"/>
      <c r="C1143" s="680"/>
      <c r="D1143" s="910"/>
      <c r="E1143" s="680"/>
      <c r="F1143" s="680"/>
      <c r="G1143" s="680"/>
      <c r="H1143" s="911"/>
      <c r="I1143" s="912"/>
      <c r="J1143" s="912"/>
      <c r="K1143" s="913"/>
      <c r="L1143" s="913"/>
      <c r="M1143" s="913"/>
      <c r="N1143" s="913"/>
      <c r="O1143" s="913"/>
      <c r="P1143" s="913"/>
      <c r="Q1143" s="576"/>
      <c r="R1143" s="576"/>
      <c r="S1143" s="576"/>
      <c r="T1143" s="576"/>
      <c r="U1143" s="576"/>
      <c r="V1143" s="576"/>
      <c r="W1143" s="576"/>
      <c r="X1143" s="576"/>
      <c r="Y1143" s="576"/>
      <c r="Z1143" s="576"/>
    </row>
    <row r="1144" spans="1:26" ht="18.75">
      <c r="A1144" s="680"/>
      <c r="B1144" s="680"/>
      <c r="C1144" s="680"/>
      <c r="D1144" s="910"/>
      <c r="E1144" s="680"/>
      <c r="F1144" s="680"/>
      <c r="G1144" s="680"/>
      <c r="H1144" s="911"/>
      <c r="I1144" s="912"/>
      <c r="J1144" s="912"/>
      <c r="K1144" s="913"/>
      <c r="L1144" s="913"/>
      <c r="M1144" s="913"/>
      <c r="N1144" s="913"/>
      <c r="O1144" s="913"/>
      <c r="P1144" s="913"/>
      <c r="Q1144" s="576"/>
      <c r="R1144" s="576"/>
      <c r="S1144" s="576"/>
      <c r="T1144" s="576"/>
      <c r="U1144" s="576"/>
      <c r="V1144" s="576"/>
      <c r="W1144" s="576"/>
      <c r="X1144" s="576"/>
      <c r="Y1144" s="576"/>
      <c r="Z1144" s="576"/>
    </row>
    <row r="1145" spans="1:26" ht="18.75">
      <c r="A1145" s="680"/>
      <c r="B1145" s="680"/>
      <c r="C1145" s="680"/>
      <c r="D1145" s="910"/>
      <c r="E1145" s="680"/>
      <c r="F1145" s="680"/>
      <c r="G1145" s="680"/>
      <c r="H1145" s="911"/>
      <c r="I1145" s="912"/>
      <c r="J1145" s="912"/>
      <c r="K1145" s="913"/>
      <c r="L1145" s="913"/>
      <c r="M1145" s="913"/>
      <c r="N1145" s="913"/>
      <c r="O1145" s="913"/>
      <c r="P1145" s="913"/>
      <c r="Q1145" s="576"/>
      <c r="R1145" s="576"/>
      <c r="S1145" s="576"/>
      <c r="T1145" s="576"/>
      <c r="U1145" s="576"/>
      <c r="V1145" s="576"/>
      <c r="W1145" s="576"/>
      <c r="X1145" s="576"/>
      <c r="Y1145" s="576"/>
      <c r="Z1145" s="576"/>
    </row>
    <row r="1146" spans="1:26" ht="18.75">
      <c r="A1146" s="680"/>
      <c r="B1146" s="680"/>
      <c r="C1146" s="680"/>
      <c r="D1146" s="910"/>
      <c r="E1146" s="680"/>
      <c r="F1146" s="680"/>
      <c r="G1146" s="680"/>
      <c r="H1146" s="911"/>
      <c r="I1146" s="912"/>
      <c r="J1146" s="912"/>
      <c r="K1146" s="913"/>
      <c r="L1146" s="913"/>
      <c r="M1146" s="913"/>
      <c r="N1146" s="913"/>
      <c r="O1146" s="913"/>
      <c r="P1146" s="913"/>
      <c r="Q1146" s="576"/>
      <c r="R1146" s="576"/>
      <c r="S1146" s="576"/>
      <c r="T1146" s="576"/>
      <c r="U1146" s="576"/>
      <c r="V1146" s="576"/>
      <c r="W1146" s="576"/>
      <c r="X1146" s="576"/>
      <c r="Y1146" s="576"/>
      <c r="Z1146" s="576"/>
    </row>
    <row r="1147" spans="1:26" ht="18.75">
      <c r="A1147" s="680"/>
      <c r="B1147" s="680"/>
      <c r="C1147" s="680"/>
      <c r="D1147" s="910"/>
      <c r="E1147" s="680"/>
      <c r="F1147" s="680"/>
      <c r="G1147" s="680"/>
      <c r="H1147" s="911"/>
      <c r="I1147" s="912"/>
      <c r="J1147" s="912"/>
      <c r="K1147" s="913"/>
      <c r="L1147" s="913"/>
      <c r="M1147" s="913"/>
      <c r="N1147" s="913"/>
      <c r="O1147" s="913"/>
      <c r="P1147" s="913"/>
      <c r="Q1147" s="576"/>
      <c r="R1147" s="576"/>
      <c r="S1147" s="576"/>
      <c r="T1147" s="576"/>
      <c r="U1147" s="576"/>
      <c r="V1147" s="576"/>
      <c r="W1147" s="576"/>
      <c r="X1147" s="576"/>
      <c r="Y1147" s="576"/>
      <c r="Z1147" s="576"/>
    </row>
    <row r="1148" spans="1:26" ht="18.75">
      <c r="A1148" s="680"/>
      <c r="B1148" s="680"/>
      <c r="C1148" s="680"/>
      <c r="D1148" s="910"/>
      <c r="E1148" s="680"/>
      <c r="F1148" s="680"/>
      <c r="G1148" s="680"/>
      <c r="H1148" s="911"/>
      <c r="I1148" s="912"/>
      <c r="J1148" s="912"/>
      <c r="K1148" s="913"/>
      <c r="L1148" s="913"/>
      <c r="M1148" s="913"/>
      <c r="N1148" s="913"/>
      <c r="O1148" s="913"/>
      <c r="P1148" s="913"/>
      <c r="Q1148" s="576"/>
      <c r="R1148" s="576"/>
      <c r="S1148" s="576"/>
      <c r="T1148" s="576"/>
      <c r="U1148" s="576"/>
      <c r="V1148" s="576"/>
      <c r="W1148" s="576"/>
      <c r="X1148" s="576"/>
      <c r="Y1148" s="576"/>
      <c r="Z1148" s="576"/>
    </row>
    <row r="1149" spans="1:26" ht="18.75">
      <c r="A1149" s="680"/>
      <c r="B1149" s="680"/>
      <c r="C1149" s="680"/>
      <c r="D1149" s="910"/>
      <c r="E1149" s="680"/>
      <c r="F1149" s="680"/>
      <c r="G1149" s="680"/>
      <c r="H1149" s="911"/>
      <c r="I1149" s="912"/>
      <c r="J1149" s="912"/>
      <c r="K1149" s="913"/>
      <c r="L1149" s="913"/>
      <c r="M1149" s="913"/>
      <c r="N1149" s="913"/>
      <c r="O1149" s="913"/>
      <c r="P1149" s="913"/>
      <c r="Q1149" s="576"/>
      <c r="R1149" s="576"/>
      <c r="S1149" s="576"/>
      <c r="T1149" s="576"/>
      <c r="U1149" s="576"/>
      <c r="V1149" s="576"/>
      <c r="W1149" s="576"/>
      <c r="X1149" s="576"/>
      <c r="Y1149" s="576"/>
      <c r="Z1149" s="576"/>
    </row>
    <row r="1150" spans="1:26" ht="18.75">
      <c r="A1150" s="680"/>
      <c r="B1150" s="680"/>
      <c r="C1150" s="680"/>
      <c r="D1150" s="910"/>
      <c r="E1150" s="680"/>
      <c r="F1150" s="680"/>
      <c r="G1150" s="680"/>
      <c r="H1150" s="911"/>
      <c r="I1150" s="912"/>
      <c r="J1150" s="912"/>
      <c r="K1150" s="913"/>
      <c r="L1150" s="913"/>
      <c r="M1150" s="913"/>
      <c r="N1150" s="913"/>
      <c r="O1150" s="913"/>
      <c r="P1150" s="913"/>
      <c r="Q1150" s="576"/>
      <c r="R1150" s="576"/>
      <c r="S1150" s="576"/>
      <c r="T1150" s="576"/>
      <c r="U1150" s="576"/>
      <c r="V1150" s="576"/>
      <c r="W1150" s="576"/>
      <c r="X1150" s="576"/>
      <c r="Y1150" s="576"/>
      <c r="Z1150" s="576"/>
    </row>
    <row r="1151" spans="1:26" ht="18.75">
      <c r="A1151" s="680"/>
      <c r="B1151" s="680"/>
      <c r="C1151" s="680"/>
      <c r="D1151" s="910"/>
      <c r="E1151" s="680"/>
      <c r="F1151" s="680"/>
      <c r="G1151" s="680"/>
      <c r="H1151" s="911"/>
      <c r="I1151" s="912"/>
      <c r="J1151" s="912"/>
      <c r="K1151" s="913"/>
      <c r="L1151" s="913"/>
      <c r="M1151" s="913"/>
      <c r="N1151" s="913"/>
      <c r="O1151" s="913"/>
      <c r="P1151" s="913"/>
      <c r="Q1151" s="576"/>
      <c r="R1151" s="576"/>
      <c r="S1151" s="576"/>
      <c r="T1151" s="576"/>
      <c r="U1151" s="576"/>
      <c r="V1151" s="576"/>
      <c r="W1151" s="576"/>
      <c r="X1151" s="576"/>
      <c r="Y1151" s="576"/>
      <c r="Z1151" s="576"/>
    </row>
    <row r="1152" spans="1:26" ht="18.75">
      <c r="A1152" s="680"/>
      <c r="B1152" s="680"/>
      <c r="C1152" s="680"/>
      <c r="D1152" s="910"/>
      <c r="E1152" s="680"/>
      <c r="F1152" s="680"/>
      <c r="G1152" s="680"/>
      <c r="H1152" s="911"/>
      <c r="I1152" s="912"/>
      <c r="J1152" s="912"/>
      <c r="K1152" s="913"/>
      <c r="L1152" s="913"/>
      <c r="M1152" s="913"/>
      <c r="N1152" s="913"/>
      <c r="O1152" s="913"/>
      <c r="P1152" s="913"/>
      <c r="Q1152" s="576"/>
      <c r="R1152" s="576"/>
      <c r="S1152" s="576"/>
      <c r="T1152" s="576"/>
      <c r="U1152" s="576"/>
      <c r="V1152" s="576"/>
      <c r="W1152" s="576"/>
      <c r="X1152" s="576"/>
      <c r="Y1152" s="576"/>
      <c r="Z1152" s="576"/>
    </row>
    <row r="1153" spans="1:26" ht="18.75">
      <c r="A1153" s="680"/>
      <c r="B1153" s="680"/>
      <c r="C1153" s="680"/>
      <c r="D1153" s="910"/>
      <c r="E1153" s="680"/>
      <c r="F1153" s="680"/>
      <c r="G1153" s="680"/>
      <c r="H1153" s="911"/>
      <c r="I1153" s="912"/>
      <c r="J1153" s="912"/>
      <c r="K1153" s="913"/>
      <c r="L1153" s="913"/>
      <c r="M1153" s="913"/>
      <c r="N1153" s="913"/>
      <c r="O1153" s="913"/>
      <c r="P1153" s="913"/>
      <c r="Q1153" s="576"/>
      <c r="R1153" s="576"/>
      <c r="S1153" s="576"/>
      <c r="T1153" s="576"/>
      <c r="U1153" s="576"/>
      <c r="V1153" s="576"/>
      <c r="W1153" s="576"/>
      <c r="X1153" s="576"/>
      <c r="Y1153" s="576"/>
      <c r="Z1153" s="576"/>
    </row>
    <row r="1154" spans="1:26" ht="18.75">
      <c r="A1154" s="680"/>
      <c r="B1154" s="680"/>
      <c r="C1154" s="680"/>
      <c r="D1154" s="910"/>
      <c r="E1154" s="680"/>
      <c r="F1154" s="680"/>
      <c r="G1154" s="680"/>
      <c r="H1154" s="911"/>
      <c r="I1154" s="912"/>
      <c r="J1154" s="912"/>
      <c r="K1154" s="913"/>
      <c r="L1154" s="913"/>
      <c r="M1154" s="913"/>
      <c r="N1154" s="913"/>
      <c r="O1154" s="913"/>
      <c r="P1154" s="913"/>
      <c r="Q1154" s="576"/>
      <c r="R1154" s="576"/>
      <c r="S1154" s="576"/>
      <c r="T1154" s="576"/>
      <c r="U1154" s="576"/>
      <c r="V1154" s="576"/>
      <c r="W1154" s="576"/>
      <c r="X1154" s="576"/>
      <c r="Y1154" s="576"/>
      <c r="Z1154" s="576"/>
    </row>
    <row r="1155" spans="1:26" ht="18.75">
      <c r="A1155" s="680"/>
      <c r="B1155" s="680"/>
      <c r="C1155" s="680"/>
      <c r="D1155" s="910"/>
      <c r="E1155" s="680"/>
      <c r="F1155" s="680"/>
      <c r="G1155" s="680"/>
      <c r="H1155" s="911"/>
      <c r="I1155" s="912"/>
      <c r="J1155" s="912"/>
      <c r="K1155" s="913"/>
      <c r="L1155" s="913"/>
      <c r="M1155" s="913"/>
      <c r="N1155" s="913"/>
      <c r="O1155" s="913"/>
      <c r="P1155" s="913"/>
      <c r="Q1155" s="576"/>
      <c r="R1155" s="576"/>
      <c r="S1155" s="576"/>
      <c r="T1155" s="576"/>
      <c r="U1155" s="576"/>
      <c r="V1155" s="576"/>
      <c r="W1155" s="576"/>
      <c r="X1155" s="576"/>
      <c r="Y1155" s="576"/>
      <c r="Z1155" s="576"/>
    </row>
    <row r="1156" spans="1:26" ht="18.75">
      <c r="A1156" s="680"/>
      <c r="B1156" s="680"/>
      <c r="C1156" s="680"/>
      <c r="D1156" s="910"/>
      <c r="E1156" s="680"/>
      <c r="F1156" s="680"/>
      <c r="G1156" s="680"/>
      <c r="H1156" s="911"/>
      <c r="I1156" s="912"/>
      <c r="J1156" s="912"/>
      <c r="K1156" s="913"/>
      <c r="L1156" s="913"/>
      <c r="M1156" s="913"/>
      <c r="N1156" s="913"/>
      <c r="O1156" s="913"/>
      <c r="P1156" s="913"/>
      <c r="Q1156" s="576"/>
      <c r="R1156" s="576"/>
      <c r="S1156" s="576"/>
      <c r="T1156" s="576"/>
      <c r="U1156" s="576"/>
      <c r="V1156" s="576"/>
      <c r="W1156" s="576"/>
      <c r="X1156" s="576"/>
      <c r="Y1156" s="576"/>
      <c r="Z1156" s="576"/>
    </row>
    <row r="1157" spans="1:26" ht="18.75">
      <c r="A1157" s="680"/>
      <c r="B1157" s="680"/>
      <c r="C1157" s="680"/>
      <c r="D1157" s="910"/>
      <c r="E1157" s="680"/>
      <c r="F1157" s="680"/>
      <c r="G1157" s="680"/>
      <c r="H1157" s="911"/>
      <c r="I1157" s="912"/>
      <c r="J1157" s="912"/>
      <c r="K1157" s="913"/>
      <c r="L1157" s="913"/>
      <c r="M1157" s="913"/>
      <c r="N1157" s="913"/>
      <c r="O1157" s="913"/>
      <c r="P1157" s="913"/>
      <c r="Q1157" s="576"/>
      <c r="R1157" s="576"/>
      <c r="S1157" s="576"/>
      <c r="T1157" s="576"/>
      <c r="U1157" s="576"/>
      <c r="V1157" s="576"/>
      <c r="W1157" s="576"/>
      <c r="X1157" s="576"/>
      <c r="Y1157" s="576"/>
      <c r="Z1157" s="576"/>
    </row>
    <row r="1158" spans="1:26" ht="18.75">
      <c r="A1158" s="680"/>
      <c r="B1158" s="680"/>
      <c r="C1158" s="680"/>
      <c r="D1158" s="910"/>
      <c r="E1158" s="680"/>
      <c r="F1158" s="680"/>
      <c r="G1158" s="680"/>
      <c r="H1158" s="911"/>
      <c r="I1158" s="912"/>
      <c r="J1158" s="912"/>
      <c r="K1158" s="913"/>
      <c r="L1158" s="913"/>
      <c r="M1158" s="913"/>
      <c r="N1158" s="913"/>
      <c r="O1158" s="913"/>
      <c r="P1158" s="913"/>
      <c r="Q1158" s="576"/>
      <c r="R1158" s="576"/>
      <c r="S1158" s="576"/>
      <c r="T1158" s="576"/>
      <c r="U1158" s="576"/>
      <c r="V1158" s="576"/>
      <c r="W1158" s="576"/>
      <c r="X1158" s="576"/>
      <c r="Y1158" s="576"/>
      <c r="Z1158" s="576"/>
    </row>
    <row r="1159" spans="1:26" ht="18.75">
      <c r="A1159" s="680"/>
      <c r="B1159" s="680"/>
      <c r="C1159" s="680"/>
      <c r="D1159" s="910"/>
      <c r="E1159" s="680"/>
      <c r="F1159" s="680"/>
      <c r="G1159" s="680"/>
      <c r="H1159" s="911"/>
      <c r="I1159" s="912"/>
      <c r="J1159" s="912"/>
      <c r="K1159" s="913"/>
      <c r="L1159" s="913"/>
      <c r="M1159" s="913"/>
      <c r="N1159" s="913"/>
      <c r="O1159" s="913"/>
      <c r="P1159" s="913"/>
      <c r="Q1159" s="576"/>
      <c r="R1159" s="576"/>
      <c r="S1159" s="576"/>
      <c r="T1159" s="576"/>
      <c r="U1159" s="576"/>
      <c r="V1159" s="576"/>
      <c r="W1159" s="576"/>
      <c r="X1159" s="576"/>
      <c r="Y1159" s="576"/>
      <c r="Z1159" s="576"/>
    </row>
    <row r="1160" spans="1:26" ht="18.75">
      <c r="A1160" s="680"/>
      <c r="B1160" s="680"/>
      <c r="C1160" s="680"/>
      <c r="D1160" s="910"/>
      <c r="E1160" s="680"/>
      <c r="F1160" s="680"/>
      <c r="G1160" s="680"/>
      <c r="H1160" s="911"/>
      <c r="I1160" s="912"/>
      <c r="J1160" s="912"/>
      <c r="K1160" s="913"/>
      <c r="L1160" s="913"/>
      <c r="M1160" s="913"/>
      <c r="N1160" s="913"/>
      <c r="O1160" s="913"/>
      <c r="P1160" s="913"/>
      <c r="Q1160" s="576"/>
      <c r="R1160" s="576"/>
      <c r="S1160" s="576"/>
      <c r="T1160" s="576"/>
      <c r="U1160" s="576"/>
      <c r="V1160" s="576"/>
      <c r="W1160" s="576"/>
      <c r="X1160" s="576"/>
      <c r="Y1160" s="576"/>
      <c r="Z1160" s="576"/>
    </row>
    <row r="1161" spans="1:26" ht="18.75">
      <c r="A1161" s="680"/>
      <c r="B1161" s="680"/>
      <c r="C1161" s="680"/>
      <c r="D1161" s="910"/>
      <c r="E1161" s="680"/>
      <c r="F1161" s="680"/>
      <c r="G1161" s="680"/>
      <c r="H1161" s="911"/>
      <c r="I1161" s="912"/>
      <c r="J1161" s="912"/>
      <c r="K1161" s="913"/>
      <c r="L1161" s="913"/>
      <c r="M1161" s="913"/>
      <c r="N1161" s="913"/>
      <c r="O1161" s="913"/>
      <c r="P1161" s="913"/>
      <c r="Q1161" s="576"/>
      <c r="R1161" s="576"/>
      <c r="S1161" s="576"/>
      <c r="T1161" s="576"/>
      <c r="U1161" s="576"/>
      <c r="V1161" s="576"/>
      <c r="W1161" s="576"/>
      <c r="X1161" s="576"/>
      <c r="Y1161" s="576"/>
      <c r="Z1161" s="576"/>
    </row>
    <row r="1162" spans="1:26" ht="18.75">
      <c r="A1162" s="680"/>
      <c r="B1162" s="680"/>
      <c r="C1162" s="680"/>
      <c r="D1162" s="910"/>
      <c r="E1162" s="680"/>
      <c r="F1162" s="680"/>
      <c r="G1162" s="680"/>
      <c r="H1162" s="911"/>
      <c r="I1162" s="912"/>
      <c r="J1162" s="912"/>
      <c r="K1162" s="913"/>
      <c r="L1162" s="913"/>
      <c r="M1162" s="913"/>
      <c r="N1162" s="913"/>
      <c r="O1162" s="913"/>
      <c r="P1162" s="913"/>
      <c r="Q1162" s="576"/>
      <c r="R1162" s="576"/>
      <c r="S1162" s="576"/>
      <c r="T1162" s="576"/>
      <c r="U1162" s="576"/>
      <c r="V1162" s="576"/>
      <c r="W1162" s="576"/>
      <c r="X1162" s="576"/>
      <c r="Y1162" s="576"/>
      <c r="Z1162" s="576"/>
    </row>
    <row r="1163" spans="1:26" ht="18.75">
      <c r="A1163" s="680"/>
      <c r="B1163" s="680"/>
      <c r="C1163" s="680"/>
      <c r="D1163" s="910"/>
      <c r="E1163" s="680"/>
      <c r="F1163" s="680"/>
      <c r="G1163" s="680"/>
      <c r="H1163" s="911"/>
      <c r="I1163" s="912"/>
      <c r="J1163" s="912"/>
      <c r="K1163" s="913"/>
      <c r="L1163" s="913"/>
      <c r="M1163" s="913"/>
      <c r="N1163" s="913"/>
      <c r="O1163" s="913"/>
      <c r="P1163" s="913"/>
      <c r="Q1163" s="576"/>
      <c r="R1163" s="576"/>
      <c r="S1163" s="576"/>
      <c r="T1163" s="576"/>
      <c r="U1163" s="576"/>
      <c r="V1163" s="576"/>
      <c r="W1163" s="576"/>
      <c r="X1163" s="576"/>
      <c r="Y1163" s="576"/>
      <c r="Z1163" s="576"/>
    </row>
    <row r="1164" spans="1:26" ht="18.75">
      <c r="A1164" s="680"/>
      <c r="B1164" s="680"/>
      <c r="C1164" s="680"/>
      <c r="D1164" s="910"/>
      <c r="E1164" s="680"/>
      <c r="F1164" s="680"/>
      <c r="G1164" s="680"/>
      <c r="H1164" s="911"/>
      <c r="I1164" s="912"/>
      <c r="J1164" s="912"/>
      <c r="K1164" s="913"/>
      <c r="L1164" s="913"/>
      <c r="M1164" s="913"/>
      <c r="N1164" s="913"/>
      <c r="O1164" s="913"/>
      <c r="P1164" s="913"/>
      <c r="Q1164" s="576"/>
      <c r="R1164" s="576"/>
      <c r="S1164" s="576"/>
      <c r="T1164" s="576"/>
      <c r="U1164" s="576"/>
      <c r="V1164" s="576"/>
      <c r="W1164" s="576"/>
      <c r="X1164" s="576"/>
      <c r="Y1164" s="576"/>
      <c r="Z1164" s="576"/>
    </row>
    <row r="1165" spans="1:26" ht="18.75">
      <c r="A1165" s="680"/>
      <c r="B1165" s="680"/>
      <c r="C1165" s="680"/>
      <c r="D1165" s="910"/>
      <c r="E1165" s="680"/>
      <c r="F1165" s="680"/>
      <c r="G1165" s="680"/>
      <c r="H1165" s="911"/>
      <c r="I1165" s="912"/>
      <c r="J1165" s="912"/>
      <c r="K1165" s="913"/>
      <c r="L1165" s="913"/>
      <c r="M1165" s="913"/>
      <c r="N1165" s="913"/>
      <c r="O1165" s="913"/>
      <c r="P1165" s="913"/>
      <c r="Q1165" s="576"/>
      <c r="R1165" s="576"/>
      <c r="S1165" s="576"/>
      <c r="T1165" s="576"/>
      <c r="U1165" s="576"/>
      <c r="V1165" s="576"/>
      <c r="W1165" s="576"/>
      <c r="X1165" s="576"/>
      <c r="Y1165" s="576"/>
      <c r="Z1165" s="576"/>
    </row>
    <row r="1166" spans="1:26" ht="18.75">
      <c r="A1166" s="680"/>
      <c r="B1166" s="680"/>
      <c r="C1166" s="680"/>
      <c r="D1166" s="910"/>
      <c r="E1166" s="680"/>
      <c r="F1166" s="680"/>
      <c r="G1166" s="680"/>
      <c r="H1166" s="911"/>
      <c r="I1166" s="912"/>
      <c r="J1166" s="912"/>
      <c r="K1166" s="913"/>
      <c r="L1166" s="913"/>
      <c r="M1166" s="913"/>
      <c r="N1166" s="913"/>
      <c r="O1166" s="913"/>
      <c r="P1166" s="913"/>
      <c r="Q1166" s="576"/>
      <c r="R1166" s="576"/>
      <c r="S1166" s="576"/>
      <c r="T1166" s="576"/>
      <c r="U1166" s="576"/>
      <c r="V1166" s="576"/>
      <c r="W1166" s="576"/>
      <c r="X1166" s="576"/>
      <c r="Y1166" s="576"/>
      <c r="Z1166" s="576"/>
    </row>
    <row r="1167" spans="1:26" ht="18.75">
      <c r="A1167" s="680"/>
      <c r="B1167" s="680"/>
      <c r="C1167" s="680"/>
      <c r="D1167" s="910"/>
      <c r="E1167" s="680"/>
      <c r="F1167" s="680"/>
      <c r="G1167" s="680"/>
      <c r="H1167" s="911"/>
      <c r="I1167" s="912"/>
      <c r="J1167" s="912"/>
      <c r="K1167" s="913"/>
      <c r="L1167" s="913"/>
      <c r="M1167" s="913"/>
      <c r="N1167" s="913"/>
      <c r="O1167" s="913"/>
      <c r="P1167" s="913"/>
      <c r="Q1167" s="576"/>
      <c r="R1167" s="576"/>
      <c r="S1167" s="576"/>
      <c r="T1167" s="576"/>
      <c r="U1167" s="576"/>
      <c r="V1167" s="576"/>
      <c r="W1167" s="576"/>
      <c r="X1167" s="576"/>
      <c r="Y1167" s="576"/>
      <c r="Z1167" s="576"/>
    </row>
    <row r="1168" spans="1:26" ht="18.75">
      <c r="A1168" s="680"/>
      <c r="B1168" s="680"/>
      <c r="C1168" s="680"/>
      <c r="D1168" s="910"/>
      <c r="E1168" s="680"/>
      <c r="F1168" s="680"/>
      <c r="G1168" s="680"/>
      <c r="H1168" s="911"/>
      <c r="I1168" s="912"/>
      <c r="J1168" s="912"/>
      <c r="K1168" s="913"/>
      <c r="L1168" s="913"/>
      <c r="M1168" s="913"/>
      <c r="N1168" s="913"/>
      <c r="O1168" s="913"/>
      <c r="P1168" s="913"/>
      <c r="Q1168" s="576"/>
      <c r="R1168" s="576"/>
      <c r="S1168" s="576"/>
      <c r="T1168" s="576"/>
      <c r="U1168" s="576"/>
      <c r="V1168" s="576"/>
      <c r="W1168" s="576"/>
      <c r="X1168" s="576"/>
      <c r="Y1168" s="576"/>
      <c r="Z1168" s="576"/>
    </row>
    <row r="1169" spans="1:26" ht="18.75">
      <c r="A1169" s="680"/>
      <c r="B1169" s="680"/>
      <c r="C1169" s="680"/>
      <c r="D1169" s="910"/>
      <c r="E1169" s="680"/>
      <c r="F1169" s="680"/>
      <c r="G1169" s="680"/>
      <c r="H1169" s="911"/>
      <c r="I1169" s="912"/>
      <c r="J1169" s="912"/>
      <c r="K1169" s="913"/>
      <c r="L1169" s="913"/>
      <c r="M1169" s="913"/>
      <c r="N1169" s="913"/>
      <c r="O1169" s="913"/>
      <c r="P1169" s="913"/>
      <c r="Q1169" s="576"/>
      <c r="R1169" s="576"/>
      <c r="S1169" s="576"/>
      <c r="T1169" s="576"/>
      <c r="U1169" s="576"/>
      <c r="V1169" s="576"/>
      <c r="W1169" s="576"/>
      <c r="X1169" s="576"/>
      <c r="Y1169" s="576"/>
      <c r="Z1169" s="576"/>
    </row>
    <row r="1170" spans="1:26" ht="18.75">
      <c r="A1170" s="680"/>
      <c r="B1170" s="680"/>
      <c r="C1170" s="680"/>
      <c r="D1170" s="910"/>
      <c r="E1170" s="680"/>
      <c r="F1170" s="680"/>
      <c r="G1170" s="680"/>
      <c r="H1170" s="911"/>
      <c r="I1170" s="912"/>
      <c r="J1170" s="912"/>
      <c r="K1170" s="913"/>
      <c r="L1170" s="913"/>
      <c r="M1170" s="913"/>
      <c r="N1170" s="913"/>
      <c r="O1170" s="913"/>
      <c r="P1170" s="913"/>
      <c r="Q1170" s="576"/>
      <c r="R1170" s="576"/>
      <c r="S1170" s="576"/>
      <c r="T1170" s="576"/>
      <c r="U1170" s="576"/>
      <c r="V1170" s="576"/>
      <c r="W1170" s="576"/>
      <c r="X1170" s="576"/>
      <c r="Y1170" s="576"/>
      <c r="Z1170" s="576"/>
    </row>
    <row r="1171" spans="1:26" ht="18.75">
      <c r="A1171" s="680"/>
      <c r="B1171" s="680"/>
      <c r="C1171" s="680"/>
      <c r="D1171" s="910"/>
      <c r="E1171" s="680"/>
      <c r="F1171" s="680"/>
      <c r="G1171" s="680"/>
      <c r="H1171" s="911"/>
      <c r="I1171" s="912"/>
      <c r="J1171" s="912"/>
      <c r="K1171" s="913"/>
      <c r="L1171" s="913"/>
      <c r="M1171" s="913"/>
      <c r="N1171" s="913"/>
      <c r="O1171" s="913"/>
      <c r="P1171" s="913"/>
      <c r="Q1171" s="576"/>
      <c r="R1171" s="576"/>
      <c r="S1171" s="576"/>
      <c r="T1171" s="576"/>
      <c r="U1171" s="576"/>
      <c r="V1171" s="576"/>
      <c r="W1171" s="576"/>
      <c r="X1171" s="576"/>
      <c r="Y1171" s="576"/>
      <c r="Z1171" s="576"/>
    </row>
    <row r="1172" spans="1:26" ht="18.75">
      <c r="A1172" s="680"/>
      <c r="B1172" s="680"/>
      <c r="C1172" s="680"/>
      <c r="D1172" s="910"/>
      <c r="E1172" s="680"/>
      <c r="F1172" s="680"/>
      <c r="G1172" s="680"/>
      <c r="H1172" s="911"/>
      <c r="I1172" s="912"/>
      <c r="J1172" s="912"/>
      <c r="K1172" s="913"/>
      <c r="L1172" s="913"/>
      <c r="M1172" s="913"/>
      <c r="N1172" s="913"/>
      <c r="O1172" s="913"/>
      <c r="P1172" s="913"/>
      <c r="Q1172" s="576"/>
      <c r="R1172" s="576"/>
      <c r="S1172" s="576"/>
      <c r="T1172" s="576"/>
      <c r="U1172" s="576"/>
      <c r="V1172" s="576"/>
      <c r="W1172" s="576"/>
      <c r="X1172" s="576"/>
      <c r="Y1172" s="576"/>
      <c r="Z1172" s="576"/>
    </row>
    <row r="1173" spans="1:26" ht="18.75">
      <c r="A1173" s="680"/>
      <c r="B1173" s="680"/>
      <c r="C1173" s="680"/>
      <c r="D1173" s="910"/>
      <c r="E1173" s="680"/>
      <c r="F1173" s="680"/>
      <c r="G1173" s="680"/>
      <c r="H1173" s="911"/>
      <c r="I1173" s="912"/>
      <c r="J1173" s="912"/>
      <c r="K1173" s="913"/>
      <c r="L1173" s="913"/>
      <c r="M1173" s="913"/>
      <c r="N1173" s="913"/>
      <c r="O1173" s="913"/>
      <c r="P1173" s="913"/>
      <c r="Q1173" s="576"/>
      <c r="R1173" s="576"/>
      <c r="S1173" s="576"/>
      <c r="T1173" s="576"/>
      <c r="U1173" s="576"/>
      <c r="V1173" s="576"/>
      <c r="W1173" s="576"/>
      <c r="X1173" s="576"/>
      <c r="Y1173" s="576"/>
      <c r="Z1173" s="576"/>
    </row>
    <row r="1174" spans="1:26" ht="18.75">
      <c r="A1174" s="680"/>
      <c r="B1174" s="680"/>
      <c r="C1174" s="680"/>
      <c r="D1174" s="910"/>
      <c r="E1174" s="680"/>
      <c r="F1174" s="680"/>
      <c r="G1174" s="680"/>
      <c r="H1174" s="911"/>
      <c r="I1174" s="912"/>
      <c r="J1174" s="912"/>
      <c r="K1174" s="913"/>
      <c r="L1174" s="913"/>
      <c r="M1174" s="913"/>
      <c r="N1174" s="913"/>
      <c r="O1174" s="913"/>
      <c r="P1174" s="913"/>
      <c r="Q1174" s="576"/>
      <c r="R1174" s="576"/>
      <c r="S1174" s="576"/>
      <c r="T1174" s="576"/>
      <c r="U1174" s="576"/>
      <c r="V1174" s="576"/>
      <c r="W1174" s="576"/>
      <c r="X1174" s="576"/>
      <c r="Y1174" s="576"/>
      <c r="Z1174" s="576"/>
    </row>
    <row r="1175" spans="1:26" ht="18.75">
      <c r="A1175" s="680"/>
      <c r="B1175" s="680"/>
      <c r="C1175" s="680"/>
      <c r="D1175" s="910"/>
      <c r="E1175" s="680"/>
      <c r="F1175" s="680"/>
      <c r="G1175" s="680"/>
      <c r="H1175" s="911"/>
      <c r="I1175" s="912"/>
      <c r="J1175" s="912"/>
      <c r="K1175" s="913"/>
      <c r="L1175" s="913"/>
      <c r="M1175" s="913"/>
      <c r="N1175" s="913"/>
      <c r="O1175" s="913"/>
      <c r="P1175" s="913"/>
      <c r="Q1175" s="576"/>
      <c r="R1175" s="576"/>
      <c r="S1175" s="576"/>
      <c r="T1175" s="576"/>
      <c r="U1175" s="576"/>
      <c r="V1175" s="576"/>
      <c r="W1175" s="576"/>
      <c r="X1175" s="576"/>
      <c r="Y1175" s="576"/>
      <c r="Z1175" s="576"/>
    </row>
    <row r="1176" spans="1:26" ht="18.75">
      <c r="A1176" s="680"/>
      <c r="B1176" s="680"/>
      <c r="C1176" s="680"/>
      <c r="D1176" s="910"/>
      <c r="E1176" s="680"/>
      <c r="F1176" s="680"/>
      <c r="G1176" s="680"/>
      <c r="H1176" s="911"/>
      <c r="I1176" s="912"/>
      <c r="J1176" s="912"/>
      <c r="K1176" s="913"/>
      <c r="L1176" s="913"/>
      <c r="M1176" s="913"/>
      <c r="N1176" s="913"/>
      <c r="O1176" s="913"/>
      <c r="P1176" s="913"/>
      <c r="Q1176" s="576"/>
      <c r="R1176" s="576"/>
      <c r="S1176" s="576"/>
      <c r="T1176" s="576"/>
      <c r="U1176" s="576"/>
      <c r="V1176" s="576"/>
      <c r="W1176" s="576"/>
      <c r="X1176" s="576"/>
      <c r="Y1176" s="576"/>
      <c r="Z1176" s="576"/>
    </row>
    <row r="1177" spans="1:26" ht="18.75">
      <c r="A1177" s="680"/>
      <c r="B1177" s="680"/>
      <c r="C1177" s="680"/>
      <c r="D1177" s="910"/>
      <c r="E1177" s="680"/>
      <c r="F1177" s="680"/>
      <c r="G1177" s="680"/>
      <c r="H1177" s="911"/>
      <c r="I1177" s="912"/>
      <c r="J1177" s="912"/>
      <c r="K1177" s="913"/>
      <c r="L1177" s="913"/>
      <c r="M1177" s="913"/>
      <c r="N1177" s="913"/>
      <c r="O1177" s="913"/>
      <c r="P1177" s="913"/>
      <c r="Q1177" s="576"/>
      <c r="R1177" s="576"/>
      <c r="S1177" s="576"/>
      <c r="T1177" s="576"/>
      <c r="U1177" s="576"/>
      <c r="V1177" s="576"/>
      <c r="W1177" s="576"/>
      <c r="X1177" s="576"/>
      <c r="Y1177" s="576"/>
      <c r="Z1177" s="576"/>
    </row>
    <row r="1178" spans="1:26" ht="18.75">
      <c r="A1178" s="680"/>
      <c r="B1178" s="680"/>
      <c r="C1178" s="680"/>
      <c r="D1178" s="910"/>
      <c r="E1178" s="680"/>
      <c r="F1178" s="680"/>
      <c r="G1178" s="680"/>
      <c r="H1178" s="911"/>
      <c r="I1178" s="912"/>
      <c r="J1178" s="912"/>
      <c r="K1178" s="913"/>
      <c r="L1178" s="913"/>
      <c r="M1178" s="913"/>
      <c r="N1178" s="913"/>
      <c r="O1178" s="913"/>
      <c r="P1178" s="913"/>
      <c r="Q1178" s="576"/>
      <c r="R1178" s="576"/>
      <c r="S1178" s="576"/>
      <c r="T1178" s="576"/>
      <c r="U1178" s="576"/>
      <c r="V1178" s="576"/>
      <c r="W1178" s="576"/>
      <c r="X1178" s="576"/>
      <c r="Y1178" s="576"/>
      <c r="Z1178" s="576"/>
    </row>
    <row r="1179" spans="1:26" ht="18.75">
      <c r="A1179" s="680"/>
      <c r="B1179" s="680"/>
      <c r="C1179" s="680"/>
      <c r="D1179" s="910"/>
      <c r="E1179" s="680"/>
      <c r="F1179" s="680"/>
      <c r="G1179" s="680"/>
      <c r="H1179" s="911"/>
      <c r="I1179" s="912"/>
      <c r="J1179" s="912"/>
      <c r="K1179" s="913"/>
      <c r="L1179" s="913"/>
      <c r="M1179" s="913"/>
      <c r="N1179" s="913"/>
      <c r="O1179" s="913"/>
      <c r="P1179" s="913"/>
      <c r="Q1179" s="576"/>
      <c r="R1179" s="576"/>
      <c r="S1179" s="576"/>
      <c r="T1179" s="576"/>
      <c r="U1179" s="576"/>
      <c r="V1179" s="576"/>
      <c r="W1179" s="576"/>
      <c r="X1179" s="576"/>
      <c r="Y1179" s="576"/>
      <c r="Z1179" s="576"/>
    </row>
    <row r="1180" spans="1:26" ht="18.75">
      <c r="A1180" s="680"/>
      <c r="B1180" s="680"/>
      <c r="C1180" s="680"/>
      <c r="D1180" s="910"/>
      <c r="E1180" s="680"/>
      <c r="F1180" s="680"/>
      <c r="G1180" s="680"/>
      <c r="H1180" s="911"/>
      <c r="I1180" s="912"/>
      <c r="J1180" s="912"/>
      <c r="K1180" s="913"/>
      <c r="L1180" s="913"/>
      <c r="M1180" s="913"/>
      <c r="N1180" s="913"/>
      <c r="O1180" s="913"/>
      <c r="P1180" s="913"/>
      <c r="Q1180" s="576"/>
      <c r="R1180" s="576"/>
      <c r="S1180" s="576"/>
      <c r="T1180" s="576"/>
      <c r="U1180" s="576"/>
      <c r="V1180" s="576"/>
      <c r="W1180" s="576"/>
      <c r="X1180" s="576"/>
      <c r="Y1180" s="576"/>
      <c r="Z1180" s="576"/>
    </row>
    <row r="1181" spans="1:26" ht="18.75">
      <c r="A1181" s="680"/>
      <c r="B1181" s="680"/>
      <c r="C1181" s="680"/>
      <c r="D1181" s="910"/>
      <c r="E1181" s="680"/>
      <c r="F1181" s="680"/>
      <c r="G1181" s="680"/>
      <c r="H1181" s="911"/>
      <c r="I1181" s="912"/>
      <c r="J1181" s="912"/>
      <c r="K1181" s="913"/>
      <c r="L1181" s="913"/>
      <c r="M1181" s="913"/>
      <c r="N1181" s="913"/>
      <c r="O1181" s="913"/>
      <c r="P1181" s="913"/>
      <c r="Q1181" s="576"/>
      <c r="R1181" s="576"/>
      <c r="S1181" s="576"/>
      <c r="T1181" s="576"/>
      <c r="U1181" s="576"/>
      <c r="V1181" s="576"/>
      <c r="W1181" s="576"/>
      <c r="X1181" s="576"/>
      <c r="Y1181" s="576"/>
      <c r="Z1181" s="576"/>
    </row>
    <row r="1182" spans="1:26" ht="18.75">
      <c r="A1182" s="680"/>
      <c r="B1182" s="680"/>
      <c r="C1182" s="680"/>
      <c r="D1182" s="910"/>
      <c r="E1182" s="680"/>
      <c r="F1182" s="680"/>
      <c r="G1182" s="680"/>
      <c r="H1182" s="911"/>
      <c r="I1182" s="912"/>
      <c r="J1182" s="912"/>
      <c r="K1182" s="913"/>
      <c r="L1182" s="913"/>
      <c r="M1182" s="913"/>
      <c r="N1182" s="913"/>
      <c r="O1182" s="913"/>
      <c r="P1182" s="913"/>
      <c r="Q1182" s="576"/>
      <c r="R1182" s="576"/>
      <c r="S1182" s="576"/>
      <c r="T1182" s="576"/>
      <c r="U1182" s="576"/>
      <c r="V1182" s="576"/>
      <c r="W1182" s="576"/>
      <c r="X1182" s="576"/>
      <c r="Y1182" s="576"/>
      <c r="Z1182" s="576"/>
    </row>
    <row r="1183" spans="1:26" ht="18.75">
      <c r="A1183" s="680"/>
      <c r="B1183" s="680"/>
      <c r="C1183" s="680"/>
      <c r="D1183" s="910"/>
      <c r="E1183" s="680"/>
      <c r="F1183" s="680"/>
      <c r="G1183" s="680"/>
      <c r="H1183" s="911"/>
      <c r="I1183" s="912"/>
      <c r="J1183" s="912"/>
      <c r="K1183" s="913"/>
      <c r="L1183" s="913"/>
      <c r="M1183" s="913"/>
      <c r="N1183" s="913"/>
      <c r="O1183" s="913"/>
      <c r="P1183" s="913"/>
      <c r="Q1183" s="576"/>
      <c r="R1183" s="576"/>
      <c r="S1183" s="576"/>
      <c r="T1183" s="576"/>
      <c r="U1183" s="576"/>
      <c r="V1183" s="576"/>
      <c r="W1183" s="576"/>
      <c r="X1183" s="576"/>
      <c r="Y1183" s="576"/>
      <c r="Z1183" s="576"/>
    </row>
    <row r="1184" spans="1:26" ht="18.75">
      <c r="A1184" s="680"/>
      <c r="B1184" s="680"/>
      <c r="C1184" s="680"/>
      <c r="D1184" s="910"/>
      <c r="E1184" s="680"/>
      <c r="F1184" s="680"/>
      <c r="G1184" s="680"/>
      <c r="H1184" s="911"/>
      <c r="I1184" s="912"/>
      <c r="J1184" s="912"/>
      <c r="K1184" s="913"/>
      <c r="L1184" s="913"/>
      <c r="M1184" s="913"/>
      <c r="N1184" s="913"/>
      <c r="O1184" s="913"/>
      <c r="P1184" s="913"/>
      <c r="Q1184" s="576"/>
      <c r="R1184" s="576"/>
      <c r="S1184" s="576"/>
      <c r="T1184" s="576"/>
      <c r="U1184" s="576"/>
      <c r="V1184" s="576"/>
      <c r="W1184" s="576"/>
      <c r="X1184" s="576"/>
      <c r="Y1184" s="576"/>
      <c r="Z1184" s="576"/>
    </row>
    <row r="1185" spans="1:26" ht="18.75">
      <c r="A1185" s="680"/>
      <c r="B1185" s="680"/>
      <c r="C1185" s="680"/>
      <c r="D1185" s="910"/>
      <c r="E1185" s="680"/>
      <c r="F1185" s="680"/>
      <c r="G1185" s="680"/>
      <c r="H1185" s="911"/>
      <c r="I1185" s="912"/>
      <c r="J1185" s="912"/>
      <c r="K1185" s="913"/>
      <c r="L1185" s="913"/>
      <c r="M1185" s="913"/>
      <c r="N1185" s="913"/>
      <c r="O1185" s="913"/>
      <c r="P1185" s="913"/>
      <c r="Q1185" s="576"/>
      <c r="R1185" s="576"/>
      <c r="S1185" s="576"/>
      <c r="T1185" s="576"/>
      <c r="U1185" s="576"/>
      <c r="V1185" s="576"/>
      <c r="W1185" s="576"/>
      <c r="X1185" s="576"/>
      <c r="Y1185" s="576"/>
      <c r="Z1185" s="576"/>
    </row>
    <row r="1186" spans="1:26" ht="18.75">
      <c r="A1186" s="680"/>
      <c r="B1186" s="680"/>
      <c r="C1186" s="680"/>
      <c r="D1186" s="910"/>
      <c r="E1186" s="680"/>
      <c r="F1186" s="680"/>
      <c r="G1186" s="680"/>
      <c r="H1186" s="911"/>
      <c r="I1186" s="912"/>
      <c r="J1186" s="912"/>
      <c r="K1186" s="913"/>
      <c r="L1186" s="913"/>
      <c r="M1186" s="913"/>
      <c r="N1186" s="913"/>
      <c r="O1186" s="913"/>
      <c r="P1186" s="913"/>
      <c r="Q1186" s="576"/>
      <c r="R1186" s="576"/>
      <c r="S1186" s="576"/>
      <c r="T1186" s="576"/>
      <c r="U1186" s="576"/>
      <c r="V1186" s="576"/>
      <c r="W1186" s="576"/>
      <c r="X1186" s="576"/>
      <c r="Y1186" s="576"/>
      <c r="Z1186" s="576"/>
    </row>
    <row r="1187" spans="1:26" ht="18.75">
      <c r="A1187" s="680"/>
      <c r="B1187" s="680"/>
      <c r="C1187" s="680"/>
      <c r="D1187" s="910"/>
      <c r="E1187" s="680"/>
      <c r="F1187" s="680"/>
      <c r="G1187" s="680"/>
      <c r="H1187" s="911"/>
      <c r="I1187" s="912"/>
      <c r="J1187" s="912"/>
      <c r="K1187" s="913"/>
      <c r="L1187" s="913"/>
      <c r="M1187" s="913"/>
      <c r="N1187" s="913"/>
      <c r="O1187" s="913"/>
      <c r="P1187" s="913"/>
      <c r="Q1187" s="576"/>
      <c r="R1187" s="576"/>
      <c r="S1187" s="576"/>
      <c r="T1187" s="576"/>
      <c r="U1187" s="576"/>
      <c r="V1187" s="576"/>
      <c r="W1187" s="576"/>
      <c r="X1187" s="576"/>
      <c r="Y1187" s="576"/>
      <c r="Z1187" s="576"/>
    </row>
    <row r="1188" spans="1:26" ht="18.75">
      <c r="A1188" s="680"/>
      <c r="B1188" s="680"/>
      <c r="C1188" s="680"/>
      <c r="D1188" s="910"/>
      <c r="E1188" s="680"/>
      <c r="F1188" s="680"/>
      <c r="G1188" s="680"/>
      <c r="H1188" s="911"/>
      <c r="I1188" s="912"/>
      <c r="J1188" s="912"/>
      <c r="K1188" s="913"/>
      <c r="L1188" s="913"/>
      <c r="M1188" s="913"/>
      <c r="N1188" s="913"/>
      <c r="O1188" s="913"/>
      <c r="P1188" s="913"/>
      <c r="Q1188" s="576"/>
      <c r="R1188" s="576"/>
      <c r="S1188" s="576"/>
      <c r="T1188" s="576"/>
      <c r="U1188" s="576"/>
      <c r="V1188" s="576"/>
      <c r="W1188" s="576"/>
      <c r="X1188" s="576"/>
      <c r="Y1188" s="576"/>
      <c r="Z1188" s="576"/>
    </row>
    <row r="1189" spans="1:26" ht="18.75">
      <c r="A1189" s="680"/>
      <c r="B1189" s="680"/>
      <c r="C1189" s="680"/>
      <c r="D1189" s="910"/>
      <c r="E1189" s="680"/>
      <c r="F1189" s="680"/>
      <c r="G1189" s="680"/>
      <c r="H1189" s="911"/>
      <c r="I1189" s="912"/>
      <c r="J1189" s="912"/>
      <c r="K1189" s="913"/>
      <c r="L1189" s="913"/>
      <c r="M1189" s="913"/>
      <c r="N1189" s="913"/>
      <c r="O1189" s="913"/>
      <c r="P1189" s="913"/>
      <c r="Q1189" s="576"/>
      <c r="R1189" s="576"/>
      <c r="S1189" s="576"/>
      <c r="T1189" s="576"/>
      <c r="U1189" s="576"/>
      <c r="V1189" s="576"/>
      <c r="W1189" s="576"/>
      <c r="X1189" s="576"/>
      <c r="Y1189" s="576"/>
      <c r="Z1189" s="576"/>
    </row>
    <row r="1190" spans="1:26" ht="18.75">
      <c r="A1190" s="680"/>
      <c r="B1190" s="680"/>
      <c r="C1190" s="680"/>
      <c r="D1190" s="910"/>
      <c r="E1190" s="680"/>
      <c r="F1190" s="680"/>
      <c r="G1190" s="680"/>
      <c r="H1190" s="911"/>
      <c r="I1190" s="912"/>
      <c r="J1190" s="912"/>
      <c r="K1190" s="913"/>
      <c r="L1190" s="913"/>
      <c r="M1190" s="913"/>
      <c r="N1190" s="913"/>
      <c r="O1190" s="913"/>
      <c r="P1190" s="913"/>
      <c r="Q1190" s="576"/>
      <c r="R1190" s="576"/>
      <c r="S1190" s="576"/>
      <c r="T1190" s="576"/>
      <c r="U1190" s="576"/>
      <c r="V1190" s="576"/>
      <c r="W1190" s="576"/>
      <c r="X1190" s="576"/>
      <c r="Y1190" s="576"/>
      <c r="Z1190" s="576"/>
    </row>
    <row r="1191" spans="1:26" ht="18.75">
      <c r="A1191" s="680"/>
      <c r="B1191" s="680"/>
      <c r="C1191" s="680"/>
      <c r="D1191" s="910"/>
      <c r="E1191" s="680"/>
      <c r="F1191" s="680"/>
      <c r="G1191" s="680"/>
      <c r="H1191" s="911"/>
      <c r="I1191" s="912"/>
      <c r="J1191" s="912"/>
      <c r="K1191" s="913"/>
      <c r="L1191" s="913"/>
      <c r="M1191" s="913"/>
      <c r="N1191" s="913"/>
      <c r="O1191" s="913"/>
      <c r="P1191" s="913"/>
      <c r="Q1191" s="576"/>
      <c r="R1191" s="576"/>
      <c r="S1191" s="576"/>
      <c r="T1191" s="576"/>
      <c r="U1191" s="576"/>
      <c r="V1191" s="576"/>
      <c r="W1191" s="576"/>
      <c r="X1191" s="576"/>
      <c r="Y1191" s="576"/>
      <c r="Z1191" s="576"/>
    </row>
    <row r="1192" spans="1:26" ht="18.75">
      <c r="A1192" s="680"/>
      <c r="B1192" s="680"/>
      <c r="C1192" s="680"/>
      <c r="D1192" s="910"/>
      <c r="E1192" s="680"/>
      <c r="F1192" s="680"/>
      <c r="G1192" s="680"/>
      <c r="H1192" s="911"/>
      <c r="I1192" s="912"/>
      <c r="J1192" s="912"/>
      <c r="K1192" s="913"/>
      <c r="L1192" s="913"/>
      <c r="M1192" s="913"/>
      <c r="N1192" s="913"/>
      <c r="O1192" s="913"/>
      <c r="P1192" s="913"/>
      <c r="Q1192" s="576"/>
      <c r="R1192" s="576"/>
      <c r="S1192" s="576"/>
      <c r="T1192" s="576"/>
      <c r="U1192" s="576"/>
      <c r="V1192" s="576"/>
      <c r="W1192" s="576"/>
      <c r="X1192" s="576"/>
      <c r="Y1192" s="576"/>
      <c r="Z1192" s="576"/>
    </row>
    <row r="1193" spans="1:26" ht="18.75">
      <c r="A1193" s="680"/>
      <c r="B1193" s="680"/>
      <c r="C1193" s="680"/>
      <c r="D1193" s="910"/>
      <c r="E1193" s="680"/>
      <c r="F1193" s="680"/>
      <c r="G1193" s="680"/>
      <c r="H1193" s="911"/>
      <c r="I1193" s="912"/>
      <c r="J1193" s="912"/>
      <c r="K1193" s="913"/>
      <c r="L1193" s="913"/>
      <c r="M1193" s="913"/>
      <c r="N1193" s="913"/>
      <c r="O1193" s="913"/>
      <c r="P1193" s="913"/>
      <c r="Q1193" s="576"/>
      <c r="R1193" s="576"/>
      <c r="S1193" s="576"/>
      <c r="T1193" s="576"/>
      <c r="U1193" s="576"/>
      <c r="V1193" s="576"/>
      <c r="W1193" s="576"/>
      <c r="X1193" s="576"/>
      <c r="Y1193" s="576"/>
      <c r="Z1193" s="576"/>
    </row>
    <row r="1194" spans="1:26" ht="18.75">
      <c r="A1194" s="680"/>
      <c r="B1194" s="680"/>
      <c r="C1194" s="680"/>
      <c r="D1194" s="910"/>
      <c r="E1194" s="680"/>
      <c r="F1194" s="680"/>
      <c r="G1194" s="680"/>
      <c r="H1194" s="911"/>
      <c r="I1194" s="912"/>
      <c r="J1194" s="912"/>
      <c r="K1194" s="913"/>
      <c r="L1194" s="913"/>
      <c r="M1194" s="913"/>
      <c r="N1194" s="913"/>
      <c r="O1194" s="913"/>
      <c r="P1194" s="913"/>
      <c r="Q1194" s="576"/>
      <c r="R1194" s="576"/>
      <c r="S1194" s="576"/>
      <c r="T1194" s="576"/>
      <c r="U1194" s="576"/>
      <c r="V1194" s="576"/>
      <c r="W1194" s="576"/>
      <c r="X1194" s="576"/>
      <c r="Y1194" s="576"/>
      <c r="Z1194" s="576"/>
    </row>
    <row r="1195" spans="1:26" ht="18.75">
      <c r="A1195" s="680"/>
      <c r="B1195" s="680"/>
      <c r="C1195" s="680"/>
      <c r="D1195" s="910"/>
      <c r="E1195" s="680"/>
      <c r="F1195" s="680"/>
      <c r="G1195" s="680"/>
      <c r="H1195" s="911"/>
      <c r="I1195" s="912"/>
      <c r="J1195" s="912"/>
      <c r="K1195" s="913"/>
      <c r="L1195" s="913"/>
      <c r="M1195" s="913"/>
      <c r="N1195" s="913"/>
      <c r="O1195" s="913"/>
      <c r="P1195" s="913"/>
      <c r="Q1195" s="576"/>
      <c r="R1195" s="576"/>
      <c r="S1195" s="576"/>
      <c r="T1195" s="576"/>
      <c r="U1195" s="576"/>
      <c r="V1195" s="576"/>
      <c r="W1195" s="576"/>
      <c r="X1195" s="576"/>
      <c r="Y1195" s="576"/>
      <c r="Z1195" s="576"/>
    </row>
    <row r="1196" spans="1:26" ht="18.75">
      <c r="A1196" s="680"/>
      <c r="B1196" s="680"/>
      <c r="C1196" s="680"/>
      <c r="D1196" s="910"/>
      <c r="E1196" s="680"/>
      <c r="F1196" s="680"/>
      <c r="G1196" s="680"/>
      <c r="H1196" s="911"/>
      <c r="I1196" s="912"/>
      <c r="J1196" s="912"/>
      <c r="K1196" s="913"/>
      <c r="L1196" s="913"/>
      <c r="M1196" s="913"/>
      <c r="N1196" s="913"/>
      <c r="O1196" s="913"/>
      <c r="P1196" s="913"/>
      <c r="Q1196" s="576"/>
      <c r="R1196" s="576"/>
      <c r="S1196" s="576"/>
      <c r="T1196" s="576"/>
      <c r="U1196" s="576"/>
      <c r="V1196" s="576"/>
      <c r="W1196" s="576"/>
      <c r="X1196" s="576"/>
      <c r="Y1196" s="576"/>
      <c r="Z1196" s="576"/>
    </row>
    <row r="1197" spans="1:26" ht="18.75">
      <c r="A1197" s="680"/>
      <c r="B1197" s="680"/>
      <c r="C1197" s="680"/>
      <c r="D1197" s="910"/>
      <c r="E1197" s="680"/>
      <c r="F1197" s="680"/>
      <c r="G1197" s="680"/>
      <c r="H1197" s="911"/>
      <c r="I1197" s="912"/>
      <c r="J1197" s="912"/>
      <c r="K1197" s="913"/>
      <c r="L1197" s="913"/>
      <c r="M1197" s="913"/>
      <c r="N1197" s="913"/>
      <c r="O1197" s="913"/>
      <c r="P1197" s="913"/>
      <c r="Q1197" s="576"/>
      <c r="R1197" s="576"/>
      <c r="S1197" s="576"/>
      <c r="T1197" s="576"/>
      <c r="U1197" s="576"/>
      <c r="V1197" s="576"/>
      <c r="W1197" s="576"/>
      <c r="X1197" s="576"/>
      <c r="Y1197" s="576"/>
      <c r="Z1197" s="576"/>
    </row>
    <row r="1198" spans="1:26" ht="18.75">
      <c r="A1198" s="680"/>
      <c r="B1198" s="680"/>
      <c r="C1198" s="680"/>
      <c r="D1198" s="910"/>
      <c r="E1198" s="680"/>
      <c r="F1198" s="680"/>
      <c r="G1198" s="680"/>
      <c r="H1198" s="911"/>
      <c r="I1198" s="912"/>
      <c r="J1198" s="912"/>
      <c r="K1198" s="913"/>
      <c r="L1198" s="913"/>
      <c r="M1198" s="913"/>
      <c r="N1198" s="913"/>
      <c r="O1198" s="913"/>
      <c r="P1198" s="913"/>
      <c r="Q1198" s="576"/>
      <c r="R1198" s="576"/>
      <c r="S1198" s="576"/>
      <c r="T1198" s="576"/>
      <c r="U1198" s="576"/>
      <c r="V1198" s="576"/>
      <c r="W1198" s="576"/>
      <c r="X1198" s="576"/>
      <c r="Y1198" s="576"/>
      <c r="Z1198" s="576"/>
    </row>
    <row r="1199" spans="1:26" ht="18.75">
      <c r="A1199" s="680"/>
      <c r="B1199" s="680"/>
      <c r="C1199" s="680"/>
      <c r="D1199" s="910"/>
      <c r="E1199" s="680"/>
      <c r="F1199" s="680"/>
      <c r="G1199" s="680"/>
      <c r="H1199" s="911"/>
      <c r="I1199" s="912"/>
      <c r="J1199" s="912"/>
      <c r="K1199" s="913"/>
      <c r="L1199" s="913"/>
      <c r="M1199" s="913"/>
      <c r="N1199" s="913"/>
      <c r="O1199" s="913"/>
      <c r="P1199" s="913"/>
      <c r="Q1199" s="576"/>
      <c r="R1199" s="576"/>
      <c r="S1199" s="576"/>
      <c r="T1199" s="576"/>
      <c r="U1199" s="576"/>
      <c r="V1199" s="576"/>
      <c r="W1199" s="576"/>
      <c r="X1199" s="576"/>
      <c r="Y1199" s="576"/>
      <c r="Z1199" s="576"/>
    </row>
    <row r="1200" spans="1:26" ht="18.75">
      <c r="A1200" s="680"/>
      <c r="B1200" s="680"/>
      <c r="C1200" s="680"/>
      <c r="D1200" s="910"/>
      <c r="E1200" s="680"/>
      <c r="F1200" s="680"/>
      <c r="G1200" s="680"/>
      <c r="H1200" s="911"/>
      <c r="I1200" s="912"/>
      <c r="J1200" s="912"/>
      <c r="K1200" s="913"/>
      <c r="L1200" s="913"/>
      <c r="M1200" s="913"/>
      <c r="N1200" s="913"/>
      <c r="O1200" s="913"/>
      <c r="P1200" s="913"/>
      <c r="Q1200" s="576"/>
      <c r="R1200" s="576"/>
      <c r="S1200" s="576"/>
      <c r="T1200" s="576"/>
      <c r="U1200" s="576"/>
      <c r="V1200" s="576"/>
      <c r="W1200" s="576"/>
      <c r="X1200" s="576"/>
      <c r="Y1200" s="576"/>
      <c r="Z1200" s="576"/>
    </row>
    <row r="1201" spans="1:26" ht="18.75">
      <c r="A1201" s="680"/>
      <c r="B1201" s="680"/>
      <c r="C1201" s="680"/>
      <c r="D1201" s="910"/>
      <c r="E1201" s="680"/>
      <c r="F1201" s="680"/>
      <c r="G1201" s="680"/>
      <c r="H1201" s="911"/>
      <c r="I1201" s="912"/>
      <c r="J1201" s="912"/>
      <c r="K1201" s="913"/>
      <c r="L1201" s="913"/>
      <c r="M1201" s="913"/>
      <c r="N1201" s="913"/>
      <c r="O1201" s="913"/>
      <c r="P1201" s="913"/>
      <c r="Q1201" s="576"/>
      <c r="R1201" s="576"/>
      <c r="S1201" s="576"/>
      <c r="T1201" s="576"/>
      <c r="U1201" s="576"/>
      <c r="V1201" s="576"/>
      <c r="W1201" s="576"/>
      <c r="X1201" s="576"/>
      <c r="Y1201" s="576"/>
      <c r="Z1201" s="576"/>
    </row>
    <row r="1202" spans="1:26" ht="18.75">
      <c r="A1202" s="680"/>
      <c r="B1202" s="680"/>
      <c r="C1202" s="680"/>
      <c r="D1202" s="910"/>
      <c r="E1202" s="680"/>
      <c r="F1202" s="680"/>
      <c r="G1202" s="680"/>
      <c r="H1202" s="911"/>
      <c r="I1202" s="912"/>
      <c r="J1202" s="912"/>
      <c r="K1202" s="913"/>
      <c r="L1202" s="913"/>
      <c r="M1202" s="913"/>
      <c r="N1202" s="913"/>
      <c r="O1202" s="913"/>
      <c r="P1202" s="913"/>
      <c r="Q1202" s="576"/>
      <c r="R1202" s="576"/>
      <c r="S1202" s="576"/>
      <c r="T1202" s="576"/>
      <c r="U1202" s="576"/>
      <c r="V1202" s="576"/>
      <c r="W1202" s="576"/>
      <c r="X1202" s="576"/>
      <c r="Y1202" s="576"/>
      <c r="Z1202" s="576"/>
    </row>
    <row r="1203" spans="1:26" ht="18.75">
      <c r="A1203" s="680"/>
      <c r="B1203" s="680"/>
      <c r="C1203" s="680"/>
      <c r="D1203" s="910"/>
      <c r="E1203" s="680"/>
      <c r="F1203" s="680"/>
      <c r="G1203" s="680"/>
      <c r="H1203" s="911"/>
      <c r="I1203" s="912"/>
      <c r="J1203" s="912"/>
      <c r="K1203" s="913"/>
      <c r="L1203" s="913"/>
      <c r="M1203" s="913"/>
      <c r="N1203" s="913"/>
      <c r="O1203" s="913"/>
      <c r="P1203" s="913"/>
      <c r="Q1203" s="576"/>
      <c r="R1203" s="576"/>
      <c r="S1203" s="576"/>
      <c r="T1203" s="576"/>
      <c r="U1203" s="576"/>
      <c r="V1203" s="576"/>
      <c r="W1203" s="576"/>
      <c r="X1203" s="576"/>
      <c r="Y1203" s="576"/>
      <c r="Z1203" s="576"/>
    </row>
    <row r="1204" spans="1:26" ht="18.75">
      <c r="A1204" s="680"/>
      <c r="B1204" s="680"/>
      <c r="C1204" s="680"/>
      <c r="D1204" s="910"/>
      <c r="E1204" s="680"/>
      <c r="F1204" s="680"/>
      <c r="G1204" s="680"/>
      <c r="H1204" s="911"/>
      <c r="I1204" s="912"/>
      <c r="J1204" s="912"/>
      <c r="K1204" s="913"/>
      <c r="L1204" s="913"/>
      <c r="M1204" s="913"/>
      <c r="N1204" s="913"/>
      <c r="O1204" s="913"/>
      <c r="P1204" s="913"/>
      <c r="Q1204" s="576"/>
      <c r="R1204" s="576"/>
      <c r="S1204" s="576"/>
      <c r="T1204" s="576"/>
      <c r="U1204" s="576"/>
      <c r="V1204" s="576"/>
      <c r="W1204" s="576"/>
      <c r="X1204" s="576"/>
      <c r="Y1204" s="576"/>
      <c r="Z1204" s="576"/>
    </row>
    <row r="1205" spans="1:26" ht="18.75">
      <c r="A1205" s="680"/>
      <c r="B1205" s="680"/>
      <c r="C1205" s="680"/>
      <c r="D1205" s="910"/>
      <c r="E1205" s="680"/>
      <c r="F1205" s="680"/>
      <c r="G1205" s="680"/>
      <c r="H1205" s="911"/>
      <c r="I1205" s="912"/>
      <c r="J1205" s="912"/>
      <c r="K1205" s="913"/>
      <c r="L1205" s="913"/>
      <c r="M1205" s="913"/>
      <c r="N1205" s="913"/>
      <c r="O1205" s="913"/>
      <c r="P1205" s="913"/>
      <c r="Q1205" s="576"/>
      <c r="R1205" s="576"/>
      <c r="S1205" s="576"/>
      <c r="T1205" s="576"/>
      <c r="U1205" s="576"/>
      <c r="V1205" s="576"/>
      <c r="W1205" s="576"/>
      <c r="X1205" s="576"/>
      <c r="Y1205" s="576"/>
      <c r="Z1205" s="576"/>
    </row>
    <row r="1206" spans="1:26" ht="18.75">
      <c r="A1206" s="680"/>
      <c r="B1206" s="680"/>
      <c r="C1206" s="680"/>
      <c r="D1206" s="910"/>
      <c r="E1206" s="680"/>
      <c r="F1206" s="680"/>
      <c r="G1206" s="680"/>
      <c r="H1206" s="911"/>
      <c r="I1206" s="912"/>
      <c r="J1206" s="912"/>
      <c r="K1206" s="913"/>
      <c r="L1206" s="913"/>
      <c r="M1206" s="913"/>
      <c r="N1206" s="913"/>
      <c r="O1206" s="913"/>
      <c r="P1206" s="913"/>
      <c r="Q1206" s="576"/>
      <c r="R1206" s="576"/>
      <c r="S1206" s="576"/>
      <c r="T1206" s="576"/>
      <c r="U1206" s="576"/>
      <c r="V1206" s="576"/>
      <c r="W1206" s="576"/>
      <c r="X1206" s="576"/>
      <c r="Y1206" s="576"/>
      <c r="Z1206" s="576"/>
    </row>
    <row r="1207" spans="1:26" ht="18.75">
      <c r="A1207" s="680"/>
      <c r="B1207" s="680"/>
      <c r="C1207" s="680"/>
      <c r="D1207" s="910"/>
      <c r="E1207" s="680"/>
      <c r="F1207" s="680"/>
      <c r="G1207" s="680"/>
      <c r="H1207" s="911"/>
      <c r="I1207" s="912"/>
      <c r="J1207" s="912"/>
      <c r="K1207" s="913"/>
      <c r="L1207" s="913"/>
      <c r="M1207" s="913"/>
      <c r="N1207" s="913"/>
      <c r="O1207" s="913"/>
      <c r="P1207" s="913"/>
      <c r="Q1207" s="576"/>
      <c r="R1207" s="576"/>
      <c r="S1207" s="576"/>
      <c r="T1207" s="576"/>
      <c r="U1207" s="576"/>
      <c r="V1207" s="576"/>
      <c r="W1207" s="576"/>
      <c r="X1207" s="576"/>
      <c r="Y1207" s="576"/>
      <c r="Z1207" s="576"/>
    </row>
    <row r="1208" spans="1:26" ht="18.75">
      <c r="A1208" s="680"/>
      <c r="B1208" s="680"/>
      <c r="C1208" s="680"/>
      <c r="D1208" s="910"/>
      <c r="E1208" s="680"/>
      <c r="F1208" s="680"/>
      <c r="G1208" s="680"/>
      <c r="H1208" s="911"/>
      <c r="I1208" s="912"/>
      <c r="J1208" s="912"/>
      <c r="K1208" s="913"/>
      <c r="L1208" s="913"/>
      <c r="M1208" s="913"/>
      <c r="N1208" s="913"/>
      <c r="O1208" s="913"/>
      <c r="P1208" s="913"/>
      <c r="Q1208" s="576"/>
      <c r="R1208" s="576"/>
      <c r="S1208" s="576"/>
      <c r="T1208" s="576"/>
      <c r="U1208" s="576"/>
      <c r="V1208" s="576"/>
      <c r="W1208" s="576"/>
      <c r="X1208" s="576"/>
      <c r="Y1208" s="576"/>
      <c r="Z1208" s="576"/>
    </row>
    <row r="1209" spans="1:26" ht="18.75">
      <c r="A1209" s="680"/>
      <c r="B1209" s="680"/>
      <c r="C1209" s="680"/>
      <c r="D1209" s="910"/>
      <c r="E1209" s="680"/>
      <c r="F1209" s="680"/>
      <c r="G1209" s="680"/>
      <c r="H1209" s="911"/>
      <c r="I1209" s="912"/>
      <c r="J1209" s="912"/>
      <c r="K1209" s="913"/>
      <c r="L1209" s="913"/>
      <c r="M1209" s="913"/>
      <c r="N1209" s="913"/>
      <c r="O1209" s="913"/>
      <c r="P1209" s="913"/>
      <c r="Q1209" s="576"/>
      <c r="R1209" s="576"/>
      <c r="S1209" s="576"/>
      <c r="T1209" s="576"/>
      <c r="U1209" s="576"/>
      <c r="V1209" s="576"/>
      <c r="W1209" s="576"/>
      <c r="X1209" s="576"/>
      <c r="Y1209" s="576"/>
      <c r="Z1209" s="576"/>
    </row>
    <row r="1210" spans="1:26" ht="18.75">
      <c r="A1210" s="680"/>
      <c r="B1210" s="680"/>
      <c r="C1210" s="680"/>
      <c r="D1210" s="910"/>
      <c r="E1210" s="680"/>
      <c r="F1210" s="680"/>
      <c r="G1210" s="680"/>
      <c r="H1210" s="911"/>
      <c r="I1210" s="912"/>
      <c r="J1210" s="912"/>
      <c r="K1210" s="913"/>
      <c r="L1210" s="913"/>
      <c r="M1210" s="913"/>
      <c r="N1210" s="913"/>
      <c r="O1210" s="913"/>
      <c r="P1210" s="913"/>
      <c r="Q1210" s="576"/>
      <c r="R1210" s="576"/>
      <c r="S1210" s="576"/>
      <c r="T1210" s="576"/>
      <c r="U1210" s="576"/>
      <c r="V1210" s="576"/>
      <c r="W1210" s="576"/>
      <c r="X1210" s="576"/>
      <c r="Y1210" s="576"/>
      <c r="Z1210" s="576"/>
    </row>
    <row r="1211" spans="1:26" ht="18.75">
      <c r="A1211" s="680"/>
      <c r="B1211" s="680"/>
      <c r="C1211" s="680"/>
      <c r="D1211" s="910"/>
      <c r="E1211" s="680"/>
      <c r="F1211" s="680"/>
      <c r="G1211" s="680"/>
      <c r="H1211" s="911"/>
      <c r="I1211" s="912"/>
      <c r="J1211" s="912"/>
      <c r="K1211" s="913"/>
      <c r="L1211" s="913"/>
      <c r="M1211" s="913"/>
      <c r="N1211" s="913"/>
      <c r="O1211" s="913"/>
      <c r="P1211" s="913"/>
      <c r="Q1211" s="576"/>
      <c r="R1211" s="576"/>
      <c r="S1211" s="576"/>
      <c r="T1211" s="576"/>
      <c r="U1211" s="576"/>
      <c r="V1211" s="576"/>
      <c r="W1211" s="576"/>
      <c r="X1211" s="576"/>
      <c r="Y1211" s="576"/>
      <c r="Z1211" s="576"/>
    </row>
    <row r="1212" spans="1:26" ht="18.75">
      <c r="A1212" s="680"/>
      <c r="B1212" s="680"/>
      <c r="C1212" s="680"/>
      <c r="D1212" s="910"/>
      <c r="E1212" s="680"/>
      <c r="F1212" s="680"/>
      <c r="G1212" s="680"/>
      <c r="H1212" s="911"/>
      <c r="I1212" s="912"/>
      <c r="J1212" s="912"/>
      <c r="K1212" s="913"/>
      <c r="L1212" s="913"/>
      <c r="M1212" s="913"/>
      <c r="N1212" s="913"/>
      <c r="O1212" s="913"/>
      <c r="P1212" s="913"/>
      <c r="Q1212" s="576"/>
      <c r="R1212" s="576"/>
      <c r="S1212" s="576"/>
      <c r="T1212" s="576"/>
      <c r="U1212" s="576"/>
      <c r="V1212" s="576"/>
      <c r="W1212" s="576"/>
      <c r="X1212" s="576"/>
      <c r="Y1212" s="576"/>
      <c r="Z1212" s="576"/>
    </row>
    <row r="1213" spans="1:26" ht="18.75">
      <c r="A1213" s="680"/>
      <c r="B1213" s="680"/>
      <c r="C1213" s="680"/>
      <c r="D1213" s="910"/>
      <c r="E1213" s="680"/>
      <c r="F1213" s="680"/>
      <c r="G1213" s="680"/>
      <c r="H1213" s="911"/>
      <c r="I1213" s="912"/>
      <c r="J1213" s="912"/>
      <c r="K1213" s="913"/>
      <c r="L1213" s="913"/>
      <c r="M1213" s="913"/>
      <c r="N1213" s="913"/>
      <c r="O1213" s="913"/>
      <c r="P1213" s="913"/>
      <c r="Q1213" s="576"/>
      <c r="R1213" s="576"/>
      <c r="S1213" s="576"/>
      <c r="T1213" s="576"/>
      <c r="U1213" s="576"/>
      <c r="V1213" s="576"/>
      <c r="W1213" s="576"/>
      <c r="X1213" s="576"/>
      <c r="Y1213" s="576"/>
      <c r="Z1213" s="576"/>
    </row>
    <row r="1214" spans="1:26" ht="18.75">
      <c r="A1214" s="680"/>
      <c r="B1214" s="680"/>
      <c r="C1214" s="680"/>
      <c r="D1214" s="910"/>
      <c r="E1214" s="680"/>
      <c r="F1214" s="680"/>
      <c r="G1214" s="680"/>
      <c r="H1214" s="911"/>
      <c r="I1214" s="912"/>
      <c r="J1214" s="912"/>
      <c r="K1214" s="913"/>
      <c r="L1214" s="913"/>
      <c r="M1214" s="913"/>
      <c r="N1214" s="913"/>
      <c r="O1214" s="913"/>
      <c r="P1214" s="913"/>
      <c r="Q1214" s="576"/>
      <c r="R1214" s="576"/>
      <c r="S1214" s="576"/>
      <c r="T1214" s="576"/>
      <c r="U1214" s="576"/>
      <c r="V1214" s="576"/>
      <c r="W1214" s="576"/>
      <c r="X1214" s="576"/>
      <c r="Y1214" s="576"/>
      <c r="Z1214" s="576"/>
    </row>
    <row r="1215" spans="1:26" ht="18.75">
      <c r="A1215" s="680"/>
      <c r="B1215" s="680"/>
      <c r="C1215" s="680"/>
      <c r="D1215" s="910"/>
      <c r="E1215" s="680"/>
      <c r="F1215" s="680"/>
      <c r="G1215" s="680"/>
      <c r="H1215" s="911"/>
      <c r="I1215" s="912"/>
      <c r="J1215" s="912"/>
      <c r="K1215" s="913"/>
      <c r="L1215" s="913"/>
      <c r="M1215" s="913"/>
      <c r="N1215" s="913"/>
      <c r="O1215" s="913"/>
      <c r="P1215" s="913"/>
      <c r="Q1215" s="576"/>
      <c r="R1215" s="576"/>
      <c r="S1215" s="576"/>
      <c r="T1215" s="576"/>
      <c r="U1215" s="576"/>
      <c r="V1215" s="576"/>
      <c r="W1215" s="576"/>
      <c r="X1215" s="576"/>
      <c r="Y1215" s="576"/>
      <c r="Z1215" s="576"/>
    </row>
    <row r="1216" spans="1:26" ht="18.75">
      <c r="A1216" s="680"/>
      <c r="B1216" s="680"/>
      <c r="C1216" s="680"/>
      <c r="D1216" s="910"/>
      <c r="E1216" s="680"/>
      <c r="F1216" s="680"/>
      <c r="G1216" s="680"/>
      <c r="H1216" s="911"/>
      <c r="I1216" s="912"/>
      <c r="J1216" s="912"/>
      <c r="K1216" s="913"/>
      <c r="L1216" s="913"/>
      <c r="M1216" s="913"/>
      <c r="N1216" s="913"/>
      <c r="O1216" s="913"/>
      <c r="P1216" s="913"/>
      <c r="Q1216" s="576"/>
      <c r="R1216" s="576"/>
      <c r="S1216" s="576"/>
      <c r="T1216" s="576"/>
      <c r="U1216" s="576"/>
      <c r="V1216" s="576"/>
      <c r="W1216" s="576"/>
      <c r="X1216" s="576"/>
      <c r="Y1216" s="576"/>
      <c r="Z1216" s="576"/>
    </row>
    <row r="1217" spans="1:26" ht="18.75">
      <c r="A1217" s="680"/>
      <c r="B1217" s="680"/>
      <c r="C1217" s="680"/>
      <c r="D1217" s="910"/>
      <c r="E1217" s="680"/>
      <c r="F1217" s="680"/>
      <c r="G1217" s="680"/>
      <c r="H1217" s="911"/>
      <c r="I1217" s="912"/>
      <c r="J1217" s="912"/>
      <c r="K1217" s="913"/>
      <c r="L1217" s="913"/>
      <c r="M1217" s="913"/>
      <c r="N1217" s="913"/>
      <c r="O1217" s="913"/>
      <c r="P1217" s="913"/>
      <c r="Q1217" s="576"/>
      <c r="R1217" s="576"/>
      <c r="S1217" s="576"/>
      <c r="T1217" s="576"/>
      <c r="U1217" s="576"/>
      <c r="V1217" s="576"/>
      <c r="W1217" s="576"/>
      <c r="X1217" s="576"/>
      <c r="Y1217" s="576"/>
      <c r="Z1217" s="576"/>
    </row>
    <row r="1218" spans="1:26" ht="18.75">
      <c r="A1218" s="680"/>
      <c r="B1218" s="680"/>
      <c r="C1218" s="680"/>
      <c r="D1218" s="910"/>
      <c r="E1218" s="680"/>
      <c r="F1218" s="680"/>
      <c r="G1218" s="680"/>
      <c r="H1218" s="911"/>
      <c r="I1218" s="912"/>
      <c r="J1218" s="912"/>
      <c r="K1218" s="913"/>
      <c r="L1218" s="913"/>
      <c r="M1218" s="913"/>
      <c r="N1218" s="913"/>
      <c r="O1218" s="913"/>
      <c r="P1218" s="913"/>
      <c r="Q1218" s="576"/>
      <c r="R1218" s="576"/>
      <c r="S1218" s="576"/>
      <c r="T1218" s="576"/>
      <c r="U1218" s="576"/>
      <c r="V1218" s="576"/>
      <c r="W1218" s="576"/>
      <c r="X1218" s="576"/>
      <c r="Y1218" s="576"/>
      <c r="Z1218" s="576"/>
    </row>
    <row r="1219" spans="1:26" ht="18.75">
      <c r="A1219" s="680"/>
      <c r="B1219" s="680"/>
      <c r="C1219" s="680"/>
      <c r="D1219" s="910"/>
      <c r="E1219" s="680"/>
      <c r="F1219" s="680"/>
      <c r="G1219" s="680"/>
      <c r="H1219" s="911"/>
      <c r="I1219" s="912"/>
      <c r="J1219" s="912"/>
      <c r="K1219" s="913"/>
      <c r="L1219" s="913"/>
      <c r="M1219" s="913"/>
      <c r="N1219" s="913"/>
      <c r="O1219" s="913"/>
      <c r="P1219" s="913"/>
      <c r="Q1219" s="576"/>
      <c r="R1219" s="576"/>
      <c r="S1219" s="576"/>
      <c r="T1219" s="576"/>
      <c r="U1219" s="576"/>
      <c r="V1219" s="576"/>
      <c r="W1219" s="576"/>
      <c r="X1219" s="576"/>
      <c r="Y1219" s="576"/>
      <c r="Z1219" s="576"/>
    </row>
    <row r="1220" spans="1:26" ht="18.75">
      <c r="A1220" s="680"/>
      <c r="B1220" s="680"/>
      <c r="C1220" s="680"/>
      <c r="D1220" s="910"/>
      <c r="E1220" s="680"/>
      <c r="F1220" s="680"/>
      <c r="G1220" s="680"/>
      <c r="H1220" s="911"/>
      <c r="I1220" s="912"/>
      <c r="J1220" s="912"/>
      <c r="K1220" s="913"/>
      <c r="L1220" s="913"/>
      <c r="M1220" s="913"/>
      <c r="N1220" s="913"/>
      <c r="O1220" s="913"/>
      <c r="P1220" s="913"/>
      <c r="Q1220" s="576"/>
      <c r="R1220" s="576"/>
      <c r="S1220" s="576"/>
      <c r="T1220" s="576"/>
      <c r="U1220" s="576"/>
      <c r="V1220" s="576"/>
      <c r="W1220" s="576"/>
      <c r="X1220" s="576"/>
      <c r="Y1220" s="576"/>
      <c r="Z1220" s="576"/>
    </row>
    <row r="1221" spans="1:26" ht="18.75">
      <c r="A1221" s="680"/>
      <c r="B1221" s="680"/>
      <c r="C1221" s="680"/>
      <c r="D1221" s="910"/>
      <c r="E1221" s="680"/>
      <c r="F1221" s="680"/>
      <c r="G1221" s="680"/>
      <c r="H1221" s="911"/>
      <c r="I1221" s="912"/>
      <c r="J1221" s="912"/>
      <c r="K1221" s="913"/>
      <c r="L1221" s="913"/>
      <c r="M1221" s="913"/>
      <c r="N1221" s="913"/>
      <c r="O1221" s="913"/>
      <c r="P1221" s="913"/>
      <c r="Q1221" s="576"/>
      <c r="R1221" s="576"/>
      <c r="S1221" s="576"/>
      <c r="T1221" s="576"/>
      <c r="U1221" s="576"/>
      <c r="V1221" s="576"/>
      <c r="W1221" s="576"/>
      <c r="X1221" s="576"/>
      <c r="Y1221" s="576"/>
      <c r="Z1221" s="576"/>
    </row>
    <row r="1222" spans="1:26" ht="18.75">
      <c r="A1222" s="680"/>
      <c r="B1222" s="680"/>
      <c r="C1222" s="680"/>
      <c r="D1222" s="910"/>
      <c r="E1222" s="680"/>
      <c r="F1222" s="680"/>
      <c r="G1222" s="680"/>
      <c r="H1222" s="911"/>
      <c r="I1222" s="912"/>
      <c r="J1222" s="912"/>
      <c r="K1222" s="913"/>
      <c r="L1222" s="913"/>
      <c r="M1222" s="913"/>
      <c r="N1222" s="913"/>
      <c r="O1222" s="913"/>
      <c r="P1222" s="913"/>
      <c r="Q1222" s="576"/>
      <c r="R1222" s="576"/>
      <c r="S1222" s="576"/>
      <c r="T1222" s="576"/>
      <c r="U1222" s="576"/>
      <c r="V1222" s="576"/>
      <c r="W1222" s="576"/>
      <c r="X1222" s="576"/>
      <c r="Y1222" s="576"/>
      <c r="Z1222" s="576"/>
    </row>
    <row r="1223" spans="1:26" ht="18.75">
      <c r="A1223" s="680"/>
      <c r="B1223" s="680"/>
      <c r="C1223" s="680"/>
      <c r="D1223" s="910"/>
      <c r="E1223" s="680"/>
      <c r="F1223" s="680"/>
      <c r="G1223" s="680"/>
      <c r="H1223" s="911"/>
      <c r="I1223" s="912"/>
      <c r="J1223" s="912"/>
      <c r="K1223" s="913"/>
      <c r="L1223" s="913"/>
      <c r="M1223" s="913"/>
      <c r="N1223" s="913"/>
      <c r="O1223" s="913"/>
      <c r="P1223" s="913"/>
      <c r="Q1223" s="576"/>
      <c r="R1223" s="576"/>
      <c r="S1223" s="576"/>
      <c r="T1223" s="576"/>
      <c r="U1223" s="576"/>
      <c r="V1223" s="576"/>
      <c r="W1223" s="576"/>
      <c r="X1223" s="576"/>
      <c r="Y1223" s="576"/>
      <c r="Z1223" s="576"/>
    </row>
    <row r="1224" spans="1:26" ht="18.75">
      <c r="A1224" s="680"/>
      <c r="B1224" s="680"/>
      <c r="C1224" s="680"/>
      <c r="D1224" s="910"/>
      <c r="E1224" s="680"/>
      <c r="F1224" s="680"/>
      <c r="G1224" s="680"/>
      <c r="H1224" s="911"/>
      <c r="I1224" s="912"/>
      <c r="J1224" s="912"/>
      <c r="K1224" s="913"/>
      <c r="L1224" s="913"/>
      <c r="M1224" s="913"/>
      <c r="N1224" s="913"/>
      <c r="O1224" s="913"/>
      <c r="P1224" s="913"/>
      <c r="Q1224" s="576"/>
      <c r="R1224" s="576"/>
      <c r="S1224" s="576"/>
      <c r="T1224" s="576"/>
      <c r="U1224" s="576"/>
      <c r="V1224" s="576"/>
      <c r="W1224" s="576"/>
      <c r="X1224" s="576"/>
      <c r="Y1224" s="576"/>
      <c r="Z1224" s="576"/>
    </row>
    <row r="1225" spans="1:26" ht="18.75">
      <c r="A1225" s="680"/>
      <c r="B1225" s="680"/>
      <c r="C1225" s="680"/>
      <c r="D1225" s="910"/>
      <c r="E1225" s="680"/>
      <c r="F1225" s="680"/>
      <c r="G1225" s="680"/>
      <c r="H1225" s="911"/>
      <c r="I1225" s="912"/>
      <c r="J1225" s="912"/>
      <c r="K1225" s="913"/>
      <c r="L1225" s="913"/>
      <c r="M1225" s="913"/>
      <c r="N1225" s="913"/>
      <c r="O1225" s="913"/>
      <c r="P1225" s="913"/>
      <c r="Q1225" s="576"/>
      <c r="R1225" s="576"/>
      <c r="S1225" s="576"/>
      <c r="T1225" s="576"/>
      <c r="U1225" s="576"/>
      <c r="V1225" s="576"/>
      <c r="W1225" s="576"/>
      <c r="X1225" s="576"/>
      <c r="Y1225" s="576"/>
      <c r="Z1225" s="576"/>
    </row>
    <row r="1226" spans="1:26" ht="18.75">
      <c r="A1226" s="680"/>
      <c r="B1226" s="680"/>
      <c r="C1226" s="680"/>
      <c r="D1226" s="910"/>
      <c r="E1226" s="680"/>
      <c r="F1226" s="680"/>
      <c r="G1226" s="680"/>
      <c r="H1226" s="911"/>
      <c r="I1226" s="912"/>
      <c r="J1226" s="912"/>
      <c r="K1226" s="913"/>
      <c r="L1226" s="913"/>
      <c r="M1226" s="913"/>
      <c r="N1226" s="913"/>
      <c r="O1226" s="913"/>
      <c r="P1226" s="913"/>
      <c r="Q1226" s="576"/>
      <c r="R1226" s="576"/>
      <c r="S1226" s="576"/>
      <c r="T1226" s="576"/>
      <c r="U1226" s="576"/>
      <c r="V1226" s="576"/>
      <c r="W1226" s="576"/>
      <c r="X1226" s="576"/>
      <c r="Y1226" s="576"/>
      <c r="Z1226" s="576"/>
    </row>
    <row r="1227" spans="1:26" ht="18.75">
      <c r="A1227" s="680"/>
      <c r="B1227" s="680"/>
      <c r="C1227" s="680"/>
      <c r="D1227" s="910"/>
      <c r="E1227" s="680"/>
      <c r="F1227" s="680"/>
      <c r="G1227" s="680"/>
      <c r="H1227" s="911"/>
      <c r="I1227" s="912"/>
      <c r="J1227" s="912"/>
      <c r="K1227" s="913"/>
      <c r="L1227" s="913"/>
      <c r="M1227" s="913"/>
      <c r="N1227" s="913"/>
      <c r="O1227" s="913"/>
      <c r="P1227" s="913"/>
      <c r="Q1227" s="576"/>
      <c r="R1227" s="576"/>
      <c r="S1227" s="576"/>
      <c r="T1227" s="576"/>
      <c r="U1227" s="576"/>
      <c r="V1227" s="576"/>
      <c r="W1227" s="576"/>
      <c r="X1227" s="576"/>
      <c r="Y1227" s="576"/>
      <c r="Z1227" s="576"/>
    </row>
    <row r="1228" spans="1:26" ht="18.75">
      <c r="A1228" s="680"/>
      <c r="B1228" s="680"/>
      <c r="C1228" s="680"/>
      <c r="D1228" s="910"/>
      <c r="E1228" s="680"/>
      <c r="F1228" s="680"/>
      <c r="G1228" s="680"/>
      <c r="H1228" s="911"/>
      <c r="I1228" s="912"/>
      <c r="J1228" s="912"/>
      <c r="K1228" s="913"/>
      <c r="L1228" s="913"/>
      <c r="M1228" s="913"/>
      <c r="N1228" s="913"/>
      <c r="O1228" s="913"/>
      <c r="P1228" s="913"/>
      <c r="Q1228" s="576"/>
      <c r="R1228" s="576"/>
      <c r="S1228" s="576"/>
      <c r="T1228" s="576"/>
      <c r="U1228" s="576"/>
      <c r="V1228" s="576"/>
      <c r="W1228" s="576"/>
      <c r="X1228" s="576"/>
      <c r="Y1228" s="576"/>
      <c r="Z1228" s="576"/>
    </row>
    <row r="1229" spans="1:26" ht="18.75">
      <c r="A1229" s="680"/>
      <c r="B1229" s="680"/>
      <c r="C1229" s="680"/>
      <c r="D1229" s="910"/>
      <c r="E1229" s="680"/>
      <c r="F1229" s="680"/>
      <c r="G1229" s="680"/>
      <c r="H1229" s="911"/>
      <c r="I1229" s="912"/>
      <c r="J1229" s="912"/>
      <c r="K1229" s="913"/>
      <c r="L1229" s="913"/>
      <c r="M1229" s="913"/>
      <c r="N1229" s="913"/>
      <c r="O1229" s="913"/>
      <c r="P1229" s="913"/>
      <c r="Q1229" s="576"/>
      <c r="R1229" s="576"/>
      <c r="S1229" s="576"/>
      <c r="T1229" s="576"/>
      <c r="U1229" s="576"/>
      <c r="V1229" s="576"/>
      <c r="W1229" s="576"/>
      <c r="X1229" s="576"/>
      <c r="Y1229" s="576"/>
      <c r="Z1229" s="576"/>
    </row>
    <row r="1230" spans="1:26" ht="18.75">
      <c r="A1230" s="680"/>
      <c r="B1230" s="680"/>
      <c r="C1230" s="680"/>
      <c r="D1230" s="910"/>
      <c r="E1230" s="680"/>
      <c r="F1230" s="680"/>
      <c r="G1230" s="680"/>
      <c r="H1230" s="911"/>
      <c r="I1230" s="912"/>
      <c r="J1230" s="912"/>
      <c r="K1230" s="913"/>
      <c r="L1230" s="913"/>
      <c r="M1230" s="913"/>
      <c r="N1230" s="913"/>
      <c r="O1230" s="913"/>
      <c r="P1230" s="913"/>
      <c r="Q1230" s="576"/>
      <c r="R1230" s="576"/>
      <c r="S1230" s="576"/>
      <c r="T1230" s="576"/>
      <c r="U1230" s="576"/>
      <c r="V1230" s="576"/>
      <c r="W1230" s="576"/>
      <c r="X1230" s="576"/>
      <c r="Y1230" s="576"/>
      <c r="Z1230" s="576"/>
    </row>
    <row r="1231" spans="1:26" ht="18.75">
      <c r="A1231" s="680"/>
      <c r="B1231" s="680"/>
      <c r="C1231" s="680"/>
      <c r="D1231" s="910"/>
      <c r="E1231" s="680"/>
      <c r="F1231" s="680"/>
      <c r="G1231" s="680"/>
      <c r="H1231" s="911"/>
      <c r="I1231" s="912"/>
      <c r="J1231" s="912"/>
      <c r="K1231" s="913"/>
      <c r="L1231" s="913"/>
      <c r="M1231" s="913"/>
      <c r="N1231" s="913"/>
      <c r="O1231" s="913"/>
      <c r="P1231" s="913"/>
      <c r="Q1231" s="576"/>
      <c r="R1231" s="576"/>
      <c r="S1231" s="576"/>
      <c r="T1231" s="576"/>
      <c r="U1231" s="576"/>
      <c r="V1231" s="576"/>
      <c r="W1231" s="576"/>
      <c r="X1231" s="576"/>
      <c r="Y1231" s="576"/>
      <c r="Z1231" s="576"/>
    </row>
    <row r="1232" spans="1:26" ht="18.75">
      <c r="A1232" s="680"/>
      <c r="B1232" s="680"/>
      <c r="C1232" s="680"/>
      <c r="D1232" s="910"/>
      <c r="E1232" s="680"/>
      <c r="F1232" s="680"/>
      <c r="G1232" s="680"/>
      <c r="H1232" s="911"/>
      <c r="I1232" s="912"/>
      <c r="J1232" s="912"/>
      <c r="K1232" s="913"/>
      <c r="L1232" s="913"/>
      <c r="M1232" s="913"/>
      <c r="N1232" s="913"/>
      <c r="O1232" s="913"/>
      <c r="P1232" s="913"/>
      <c r="Q1232" s="576"/>
      <c r="R1232" s="576"/>
      <c r="S1232" s="576"/>
      <c r="T1232" s="576"/>
      <c r="U1232" s="576"/>
      <c r="V1232" s="576"/>
      <c r="W1232" s="576"/>
      <c r="X1232" s="576"/>
      <c r="Y1232" s="576"/>
      <c r="Z1232" s="576"/>
    </row>
    <row r="1233" spans="1:26" ht="18.75">
      <c r="A1233" s="680"/>
      <c r="B1233" s="680"/>
      <c r="C1233" s="680"/>
      <c r="D1233" s="910"/>
      <c r="E1233" s="680"/>
      <c r="F1233" s="680"/>
      <c r="G1233" s="680"/>
      <c r="H1233" s="911"/>
      <c r="I1233" s="912"/>
      <c r="J1233" s="912"/>
      <c r="K1233" s="913"/>
      <c r="L1233" s="913"/>
      <c r="M1233" s="913"/>
      <c r="N1233" s="913"/>
      <c r="O1233" s="913"/>
      <c r="P1233" s="913"/>
      <c r="Q1233" s="576"/>
      <c r="R1233" s="576"/>
      <c r="S1233" s="576"/>
      <c r="T1233" s="576"/>
      <c r="U1233" s="576"/>
      <c r="V1233" s="576"/>
      <c r="W1233" s="576"/>
      <c r="X1233" s="576"/>
      <c r="Y1233" s="576"/>
      <c r="Z1233" s="576"/>
    </row>
    <row r="1234" spans="1:26" ht="18.75">
      <c r="A1234" s="680"/>
      <c r="B1234" s="680"/>
      <c r="C1234" s="680"/>
      <c r="D1234" s="910"/>
      <c r="E1234" s="680"/>
      <c r="F1234" s="680"/>
      <c r="G1234" s="680"/>
      <c r="H1234" s="911"/>
      <c r="I1234" s="912"/>
      <c r="J1234" s="912"/>
      <c r="K1234" s="913"/>
      <c r="L1234" s="913"/>
      <c r="M1234" s="913"/>
      <c r="N1234" s="913"/>
      <c r="O1234" s="913"/>
      <c r="P1234" s="913"/>
      <c r="Q1234" s="576"/>
      <c r="R1234" s="576"/>
      <c r="S1234" s="576"/>
      <c r="T1234" s="576"/>
      <c r="U1234" s="576"/>
      <c r="V1234" s="576"/>
      <c r="W1234" s="576"/>
      <c r="X1234" s="576"/>
      <c r="Y1234" s="576"/>
      <c r="Z1234" s="576"/>
    </row>
    <row r="1235" spans="1:26" ht="18.75">
      <c r="A1235" s="680"/>
      <c r="B1235" s="680"/>
      <c r="C1235" s="680"/>
      <c r="D1235" s="910"/>
      <c r="E1235" s="680"/>
      <c r="F1235" s="680"/>
      <c r="G1235" s="680"/>
      <c r="H1235" s="911"/>
      <c r="I1235" s="912"/>
      <c r="J1235" s="912"/>
      <c r="K1235" s="913"/>
      <c r="L1235" s="913"/>
      <c r="M1235" s="913"/>
      <c r="N1235" s="913"/>
      <c r="O1235" s="913"/>
      <c r="P1235" s="913"/>
      <c r="Q1235" s="576"/>
      <c r="R1235" s="576"/>
      <c r="S1235" s="576"/>
      <c r="T1235" s="576"/>
      <c r="U1235" s="576"/>
      <c r="V1235" s="576"/>
      <c r="W1235" s="576"/>
      <c r="X1235" s="576"/>
      <c r="Y1235" s="576"/>
      <c r="Z1235" s="576"/>
    </row>
    <row r="1236" spans="1:26" ht="18.75">
      <c r="A1236" s="680"/>
      <c r="B1236" s="680"/>
      <c r="C1236" s="680"/>
      <c r="D1236" s="910"/>
      <c r="E1236" s="680"/>
      <c r="F1236" s="680"/>
      <c r="G1236" s="680"/>
      <c r="H1236" s="911"/>
      <c r="I1236" s="912"/>
      <c r="J1236" s="912"/>
      <c r="K1236" s="913"/>
      <c r="L1236" s="913"/>
      <c r="M1236" s="913"/>
      <c r="N1236" s="913"/>
      <c r="O1236" s="913"/>
      <c r="P1236" s="913"/>
      <c r="Q1236" s="576"/>
      <c r="R1236" s="576"/>
      <c r="S1236" s="576"/>
      <c r="T1236" s="576"/>
      <c r="U1236" s="576"/>
      <c r="V1236" s="576"/>
      <c r="W1236" s="576"/>
      <c r="X1236" s="576"/>
      <c r="Y1236" s="576"/>
      <c r="Z1236" s="576"/>
    </row>
    <row r="1237" spans="1:26" ht="18.75">
      <c r="A1237" s="680"/>
      <c r="B1237" s="680"/>
      <c r="C1237" s="680"/>
      <c r="D1237" s="910"/>
      <c r="E1237" s="680"/>
      <c r="F1237" s="680"/>
      <c r="G1237" s="680"/>
      <c r="H1237" s="911"/>
      <c r="I1237" s="912"/>
      <c r="J1237" s="912"/>
      <c r="K1237" s="913"/>
      <c r="L1237" s="913"/>
      <c r="M1237" s="913"/>
      <c r="N1237" s="913"/>
      <c r="O1237" s="913"/>
      <c r="P1237" s="913"/>
      <c r="Q1237" s="576"/>
      <c r="R1237" s="576"/>
      <c r="S1237" s="576"/>
      <c r="T1237" s="576"/>
      <c r="U1237" s="576"/>
      <c r="V1237" s="576"/>
      <c r="W1237" s="576"/>
      <c r="X1237" s="576"/>
      <c r="Y1237" s="576"/>
      <c r="Z1237" s="576"/>
    </row>
    <row r="1238" spans="1:26" ht="18.75">
      <c r="A1238" s="680"/>
      <c r="B1238" s="680"/>
      <c r="C1238" s="680"/>
      <c r="D1238" s="910"/>
      <c r="E1238" s="680"/>
      <c r="F1238" s="680"/>
      <c r="G1238" s="680"/>
      <c r="H1238" s="911"/>
      <c r="I1238" s="912"/>
      <c r="J1238" s="912"/>
      <c r="K1238" s="913"/>
      <c r="L1238" s="913"/>
      <c r="M1238" s="913"/>
      <c r="N1238" s="913"/>
      <c r="O1238" s="913"/>
      <c r="P1238" s="913"/>
      <c r="Q1238" s="576"/>
      <c r="R1238" s="576"/>
      <c r="S1238" s="576"/>
      <c r="T1238" s="576"/>
      <c r="U1238" s="576"/>
      <c r="V1238" s="576"/>
      <c r="W1238" s="576"/>
      <c r="X1238" s="576"/>
      <c r="Y1238" s="576"/>
      <c r="Z1238" s="576"/>
    </row>
    <row r="1239" spans="1:26" ht="18.75">
      <c r="A1239" s="680"/>
      <c r="B1239" s="680"/>
      <c r="C1239" s="680"/>
      <c r="D1239" s="910"/>
      <c r="E1239" s="680"/>
      <c r="F1239" s="680"/>
      <c r="G1239" s="680"/>
      <c r="H1239" s="911"/>
      <c r="I1239" s="912"/>
      <c r="J1239" s="912"/>
      <c r="K1239" s="913"/>
      <c r="L1239" s="913"/>
      <c r="M1239" s="913"/>
      <c r="N1239" s="913"/>
      <c r="O1239" s="913"/>
      <c r="P1239" s="913"/>
      <c r="Q1239" s="576"/>
      <c r="R1239" s="576"/>
      <c r="S1239" s="576"/>
      <c r="T1239" s="576"/>
      <c r="U1239" s="576"/>
      <c r="V1239" s="576"/>
      <c r="W1239" s="576"/>
      <c r="X1239" s="576"/>
      <c r="Y1239" s="576"/>
      <c r="Z1239" s="576"/>
    </row>
    <row r="1240" spans="1:26" ht="18.75">
      <c r="A1240" s="680"/>
      <c r="B1240" s="680"/>
      <c r="C1240" s="680"/>
      <c r="D1240" s="910"/>
      <c r="E1240" s="680"/>
      <c r="F1240" s="680"/>
      <c r="G1240" s="680"/>
      <c r="H1240" s="911"/>
      <c r="I1240" s="912"/>
      <c r="J1240" s="912"/>
      <c r="K1240" s="913"/>
      <c r="L1240" s="913"/>
      <c r="M1240" s="913"/>
      <c r="N1240" s="913"/>
      <c r="O1240" s="913"/>
      <c r="P1240" s="913"/>
      <c r="Q1240" s="576"/>
      <c r="R1240" s="576"/>
      <c r="S1240" s="576"/>
      <c r="T1240" s="576"/>
      <c r="U1240" s="576"/>
      <c r="V1240" s="576"/>
      <c r="W1240" s="576"/>
      <c r="X1240" s="576"/>
      <c r="Y1240" s="576"/>
      <c r="Z1240" s="576"/>
    </row>
    <row r="1241" spans="1:26" ht="18.75">
      <c r="A1241" s="680"/>
      <c r="B1241" s="680"/>
      <c r="C1241" s="680"/>
      <c r="D1241" s="910"/>
      <c r="E1241" s="680"/>
      <c r="F1241" s="680"/>
      <c r="G1241" s="680"/>
      <c r="H1241" s="911"/>
      <c r="I1241" s="912"/>
      <c r="J1241" s="912"/>
      <c r="K1241" s="913"/>
      <c r="L1241" s="913"/>
      <c r="M1241" s="913"/>
      <c r="N1241" s="913"/>
      <c r="O1241" s="913"/>
      <c r="P1241" s="913"/>
      <c r="Q1241" s="576"/>
      <c r="R1241" s="576"/>
      <c r="S1241" s="576"/>
      <c r="T1241" s="576"/>
      <c r="U1241" s="576"/>
      <c r="V1241" s="576"/>
      <c r="W1241" s="576"/>
      <c r="X1241" s="576"/>
      <c r="Y1241" s="576"/>
      <c r="Z1241" s="576"/>
    </row>
    <row r="1242" spans="1:26" ht="18.75">
      <c r="A1242" s="680"/>
      <c r="B1242" s="680"/>
      <c r="C1242" s="680"/>
      <c r="D1242" s="910"/>
      <c r="E1242" s="680"/>
      <c r="F1242" s="680"/>
      <c r="G1242" s="680"/>
      <c r="H1242" s="911"/>
      <c r="I1242" s="912"/>
      <c r="J1242" s="912"/>
      <c r="K1242" s="913"/>
      <c r="L1242" s="913"/>
      <c r="M1242" s="913"/>
      <c r="N1242" s="913"/>
      <c r="O1242" s="913"/>
      <c r="P1242" s="913"/>
      <c r="Q1242" s="576"/>
      <c r="R1242" s="576"/>
      <c r="S1242" s="576"/>
      <c r="T1242" s="576"/>
      <c r="U1242" s="576"/>
      <c r="V1242" s="576"/>
      <c r="W1242" s="576"/>
      <c r="X1242" s="576"/>
      <c r="Y1242" s="576"/>
      <c r="Z1242" s="576"/>
    </row>
    <row r="1243" spans="1:26" ht="18.75">
      <c r="A1243" s="680"/>
      <c r="B1243" s="680"/>
      <c r="C1243" s="680"/>
      <c r="D1243" s="910"/>
      <c r="E1243" s="680"/>
      <c r="F1243" s="680"/>
      <c r="G1243" s="680"/>
      <c r="H1243" s="911"/>
      <c r="I1243" s="912"/>
      <c r="J1243" s="912"/>
      <c r="K1243" s="913"/>
      <c r="L1243" s="913"/>
      <c r="M1243" s="913"/>
      <c r="N1243" s="913"/>
      <c r="O1243" s="913"/>
      <c r="P1243" s="913"/>
      <c r="Q1243" s="576"/>
      <c r="R1243" s="576"/>
      <c r="S1243" s="576"/>
      <c r="T1243" s="576"/>
      <c r="U1243" s="576"/>
      <c r="V1243" s="576"/>
      <c r="W1243" s="576"/>
      <c r="X1243" s="576"/>
      <c r="Y1243" s="576"/>
      <c r="Z1243" s="576"/>
    </row>
    <row r="1244" spans="1:26" ht="18.75">
      <c r="A1244" s="680"/>
      <c r="B1244" s="680"/>
      <c r="C1244" s="680"/>
      <c r="D1244" s="910"/>
      <c r="E1244" s="680"/>
      <c r="F1244" s="680"/>
      <c r="G1244" s="680"/>
      <c r="H1244" s="911"/>
      <c r="I1244" s="912"/>
      <c r="J1244" s="912"/>
      <c r="K1244" s="913"/>
      <c r="L1244" s="913"/>
      <c r="M1244" s="913"/>
      <c r="N1244" s="913"/>
      <c r="O1244" s="913"/>
      <c r="P1244" s="913"/>
      <c r="Q1244" s="576"/>
      <c r="R1244" s="576"/>
      <c r="S1244" s="576"/>
      <c r="T1244" s="576"/>
      <c r="U1244" s="576"/>
      <c r="V1244" s="576"/>
      <c r="W1244" s="576"/>
      <c r="X1244" s="576"/>
      <c r="Y1244" s="576"/>
      <c r="Z1244" s="576"/>
    </row>
    <row r="1245" spans="1:26" ht="18.75">
      <c r="A1245" s="680"/>
      <c r="B1245" s="680"/>
      <c r="C1245" s="680"/>
      <c r="D1245" s="910"/>
      <c r="E1245" s="680"/>
      <c r="F1245" s="680"/>
      <c r="G1245" s="680"/>
      <c r="H1245" s="911"/>
      <c r="I1245" s="912"/>
      <c r="J1245" s="912"/>
      <c r="K1245" s="913"/>
      <c r="L1245" s="913"/>
      <c r="M1245" s="913"/>
      <c r="N1245" s="913"/>
      <c r="O1245" s="913"/>
      <c r="P1245" s="913"/>
      <c r="Q1245" s="576"/>
      <c r="R1245" s="576"/>
      <c r="S1245" s="576"/>
      <c r="T1245" s="576"/>
      <c r="U1245" s="576"/>
      <c r="V1245" s="576"/>
      <c r="W1245" s="576"/>
      <c r="X1245" s="576"/>
      <c r="Y1245" s="576"/>
      <c r="Z1245" s="576"/>
    </row>
    <row r="1246" spans="1:26" ht="18.75">
      <c r="A1246" s="680"/>
      <c r="B1246" s="680"/>
      <c r="C1246" s="680"/>
      <c r="D1246" s="910"/>
      <c r="E1246" s="680"/>
      <c r="F1246" s="680"/>
      <c r="G1246" s="680"/>
      <c r="H1246" s="911"/>
      <c r="I1246" s="912"/>
      <c r="J1246" s="912"/>
      <c r="K1246" s="913"/>
      <c r="L1246" s="913"/>
      <c r="M1246" s="913"/>
      <c r="N1246" s="913"/>
      <c r="O1246" s="913"/>
      <c r="P1246" s="913"/>
      <c r="Q1246" s="576"/>
      <c r="R1246" s="576"/>
      <c r="S1246" s="576"/>
      <c r="T1246" s="576"/>
      <c r="U1246" s="576"/>
      <c r="V1246" s="576"/>
      <c r="W1246" s="576"/>
      <c r="X1246" s="576"/>
      <c r="Y1246" s="576"/>
      <c r="Z1246" s="576"/>
    </row>
    <row r="1247" spans="1:26" ht="18.75">
      <c r="A1247" s="680"/>
      <c r="B1247" s="680"/>
      <c r="C1247" s="680"/>
      <c r="D1247" s="910"/>
      <c r="E1247" s="680"/>
      <c r="F1247" s="680"/>
      <c r="G1247" s="680"/>
      <c r="H1247" s="911"/>
      <c r="I1247" s="912"/>
      <c r="J1247" s="912"/>
      <c r="K1247" s="913"/>
      <c r="L1247" s="913"/>
      <c r="M1247" s="913"/>
      <c r="N1247" s="913"/>
      <c r="O1247" s="913"/>
      <c r="P1247" s="913"/>
      <c r="Q1247" s="576"/>
      <c r="R1247" s="576"/>
      <c r="S1247" s="576"/>
      <c r="T1247" s="576"/>
      <c r="U1247" s="576"/>
      <c r="V1247" s="576"/>
      <c r="W1247" s="576"/>
      <c r="X1247" s="576"/>
      <c r="Y1247" s="576"/>
      <c r="Z1247" s="576"/>
    </row>
    <row r="1248" spans="1:26" ht="18.75">
      <c r="A1248" s="680"/>
      <c r="B1248" s="680"/>
      <c r="C1248" s="680"/>
      <c r="D1248" s="910"/>
      <c r="E1248" s="680"/>
      <c r="F1248" s="680"/>
      <c r="G1248" s="680"/>
      <c r="H1248" s="911"/>
      <c r="I1248" s="912"/>
      <c r="J1248" s="912"/>
      <c r="K1248" s="913"/>
      <c r="L1248" s="913"/>
      <c r="M1248" s="913"/>
      <c r="N1248" s="913"/>
      <c r="O1248" s="913"/>
      <c r="P1248" s="913"/>
      <c r="Q1248" s="576"/>
      <c r="R1248" s="576"/>
      <c r="S1248" s="576"/>
      <c r="T1248" s="576"/>
      <c r="U1248" s="576"/>
      <c r="V1248" s="576"/>
      <c r="W1248" s="576"/>
      <c r="X1248" s="576"/>
      <c r="Y1248" s="576"/>
      <c r="Z1248" s="576"/>
    </row>
    <row r="1249" spans="1:26" ht="18.75">
      <c r="A1249" s="680"/>
      <c r="B1249" s="680"/>
      <c r="C1249" s="680"/>
      <c r="D1249" s="910"/>
      <c r="E1249" s="680"/>
      <c r="F1249" s="680"/>
      <c r="G1249" s="680"/>
      <c r="H1249" s="911"/>
      <c r="I1249" s="912"/>
      <c r="J1249" s="912"/>
      <c r="K1249" s="913"/>
      <c r="L1249" s="913"/>
      <c r="M1249" s="913"/>
      <c r="N1249" s="913"/>
      <c r="O1249" s="913"/>
      <c r="P1249" s="913"/>
      <c r="Q1249" s="576"/>
      <c r="R1249" s="576"/>
      <c r="S1249" s="576"/>
      <c r="T1249" s="576"/>
      <c r="U1249" s="576"/>
      <c r="V1249" s="576"/>
      <c r="W1249" s="576"/>
      <c r="X1249" s="576"/>
      <c r="Y1249" s="576"/>
      <c r="Z1249" s="576"/>
    </row>
    <row r="1250" spans="1:26" ht="18.75">
      <c r="A1250" s="680"/>
      <c r="B1250" s="680"/>
      <c r="C1250" s="680"/>
      <c r="D1250" s="910"/>
      <c r="E1250" s="680"/>
      <c r="F1250" s="680"/>
      <c r="G1250" s="680"/>
      <c r="H1250" s="911"/>
      <c r="I1250" s="912"/>
      <c r="J1250" s="912"/>
      <c r="K1250" s="913"/>
      <c r="L1250" s="913"/>
      <c r="M1250" s="913"/>
      <c r="N1250" s="913"/>
      <c r="O1250" s="913"/>
      <c r="P1250" s="913"/>
      <c r="Q1250" s="576"/>
      <c r="R1250" s="576"/>
      <c r="S1250" s="576"/>
      <c r="T1250" s="576"/>
      <c r="U1250" s="576"/>
      <c r="V1250" s="576"/>
      <c r="W1250" s="576"/>
      <c r="X1250" s="576"/>
      <c r="Y1250" s="576"/>
      <c r="Z1250" s="576"/>
    </row>
    <row r="1251" spans="1:26" ht="18.75">
      <c r="A1251" s="680"/>
      <c r="B1251" s="680"/>
      <c r="C1251" s="680"/>
      <c r="D1251" s="910"/>
      <c r="E1251" s="680"/>
      <c r="F1251" s="680"/>
      <c r="G1251" s="680"/>
      <c r="H1251" s="911"/>
      <c r="I1251" s="912"/>
      <c r="J1251" s="912"/>
      <c r="K1251" s="913"/>
      <c r="L1251" s="913"/>
      <c r="M1251" s="913"/>
      <c r="N1251" s="913"/>
      <c r="O1251" s="913"/>
      <c r="P1251" s="913"/>
      <c r="Q1251" s="576"/>
      <c r="R1251" s="576"/>
      <c r="S1251" s="576"/>
      <c r="T1251" s="576"/>
      <c r="U1251" s="576"/>
      <c r="V1251" s="576"/>
      <c r="W1251" s="576"/>
      <c r="X1251" s="576"/>
      <c r="Y1251" s="576"/>
      <c r="Z1251" s="576"/>
    </row>
    <row r="1252" spans="1:26" ht="18.75">
      <c r="A1252" s="680"/>
      <c r="B1252" s="680"/>
      <c r="C1252" s="680"/>
      <c r="D1252" s="910"/>
      <c r="E1252" s="680"/>
      <c r="F1252" s="680"/>
      <c r="G1252" s="680"/>
      <c r="H1252" s="911"/>
      <c r="I1252" s="912"/>
      <c r="J1252" s="912"/>
      <c r="K1252" s="913"/>
      <c r="L1252" s="913"/>
      <c r="M1252" s="913"/>
      <c r="N1252" s="913"/>
      <c r="O1252" s="913"/>
      <c r="P1252" s="913"/>
      <c r="Q1252" s="576"/>
      <c r="R1252" s="576"/>
      <c r="S1252" s="576"/>
      <c r="T1252" s="576"/>
      <c r="U1252" s="576"/>
      <c r="V1252" s="576"/>
      <c r="W1252" s="576"/>
      <c r="X1252" s="576"/>
      <c r="Y1252" s="576"/>
      <c r="Z1252" s="576"/>
    </row>
    <row r="1253" spans="1:26" ht="18.75">
      <c r="A1253" s="680"/>
      <c r="B1253" s="680"/>
      <c r="C1253" s="680"/>
      <c r="D1253" s="910"/>
      <c r="E1253" s="680"/>
      <c r="F1253" s="680"/>
      <c r="G1253" s="680"/>
      <c r="H1253" s="911"/>
      <c r="I1253" s="912"/>
      <c r="J1253" s="912"/>
      <c r="K1253" s="913"/>
      <c r="L1253" s="913"/>
      <c r="M1253" s="913"/>
      <c r="N1253" s="913"/>
      <c r="O1253" s="913"/>
      <c r="P1253" s="913"/>
      <c r="Q1253" s="576"/>
      <c r="R1253" s="576"/>
      <c r="S1253" s="576"/>
      <c r="T1253" s="576"/>
      <c r="U1253" s="576"/>
      <c r="V1253" s="576"/>
      <c r="W1253" s="576"/>
      <c r="X1253" s="576"/>
      <c r="Y1253" s="576"/>
      <c r="Z1253" s="576"/>
    </row>
    <row r="1254" spans="1:26" ht="18.75">
      <c r="A1254" s="680"/>
      <c r="B1254" s="680"/>
      <c r="C1254" s="680"/>
      <c r="D1254" s="910"/>
      <c r="E1254" s="680"/>
      <c r="F1254" s="680"/>
      <c r="G1254" s="680"/>
      <c r="H1254" s="911"/>
      <c r="I1254" s="912"/>
      <c r="J1254" s="912"/>
      <c r="K1254" s="913"/>
      <c r="L1254" s="913"/>
      <c r="M1254" s="913"/>
      <c r="N1254" s="913"/>
      <c r="O1254" s="913"/>
      <c r="P1254" s="913"/>
      <c r="Q1254" s="576"/>
      <c r="R1254" s="576"/>
      <c r="S1254" s="576"/>
      <c r="T1254" s="576"/>
      <c r="U1254" s="576"/>
      <c r="V1254" s="576"/>
      <c r="W1254" s="576"/>
      <c r="X1254" s="576"/>
      <c r="Y1254" s="576"/>
      <c r="Z1254" s="576"/>
    </row>
    <row r="1255" spans="1:26" ht="18.75">
      <c r="A1255" s="680"/>
      <c r="B1255" s="680"/>
      <c r="C1255" s="680"/>
      <c r="D1255" s="910"/>
      <c r="E1255" s="680"/>
      <c r="F1255" s="680"/>
      <c r="G1255" s="680"/>
      <c r="H1255" s="911"/>
      <c r="I1255" s="912"/>
      <c r="J1255" s="912"/>
      <c r="K1255" s="913"/>
      <c r="L1255" s="913"/>
      <c r="M1255" s="913"/>
      <c r="N1255" s="913"/>
      <c r="O1255" s="913"/>
      <c r="P1255" s="913"/>
      <c r="Q1255" s="576"/>
      <c r="R1255" s="576"/>
      <c r="S1255" s="576"/>
      <c r="T1255" s="576"/>
      <c r="U1255" s="576"/>
      <c r="V1255" s="576"/>
      <c r="W1255" s="576"/>
      <c r="X1255" s="576"/>
      <c r="Y1255" s="576"/>
      <c r="Z1255" s="576"/>
    </row>
    <row r="1256" spans="1:26" ht="18.75">
      <c r="A1256" s="680"/>
      <c r="B1256" s="680"/>
      <c r="C1256" s="680"/>
      <c r="D1256" s="910"/>
      <c r="E1256" s="680"/>
      <c r="F1256" s="680"/>
      <c r="G1256" s="680"/>
      <c r="H1256" s="911"/>
      <c r="I1256" s="912"/>
      <c r="J1256" s="912"/>
      <c r="K1256" s="913"/>
      <c r="L1256" s="913"/>
      <c r="M1256" s="913"/>
      <c r="N1256" s="913"/>
      <c r="O1256" s="913"/>
      <c r="P1256" s="913"/>
      <c r="Q1256" s="576"/>
      <c r="R1256" s="576"/>
      <c r="S1256" s="576"/>
      <c r="T1256" s="576"/>
      <c r="U1256" s="576"/>
      <c r="V1256" s="576"/>
      <c r="W1256" s="576"/>
      <c r="X1256" s="576"/>
      <c r="Y1256" s="576"/>
      <c r="Z1256" s="576"/>
    </row>
    <row r="1257" spans="1:26" ht="18.75">
      <c r="A1257" s="680"/>
      <c r="B1257" s="680"/>
      <c r="C1257" s="680"/>
      <c r="D1257" s="910"/>
      <c r="E1257" s="680"/>
      <c r="F1257" s="680"/>
      <c r="G1257" s="680"/>
      <c r="H1257" s="911"/>
      <c r="I1257" s="912"/>
      <c r="J1257" s="912"/>
      <c r="K1257" s="913"/>
      <c r="L1257" s="913"/>
      <c r="M1257" s="913"/>
      <c r="N1257" s="913"/>
      <c r="O1257" s="913"/>
      <c r="P1257" s="913"/>
      <c r="Q1257" s="576"/>
      <c r="R1257" s="576"/>
      <c r="S1257" s="576"/>
      <c r="T1257" s="576"/>
      <c r="U1257" s="576"/>
      <c r="V1257" s="576"/>
      <c r="W1257" s="576"/>
      <c r="X1257" s="576"/>
      <c r="Y1257" s="576"/>
      <c r="Z1257" s="576"/>
    </row>
    <row r="1258" spans="1:26" ht="18.75">
      <c r="A1258" s="680"/>
      <c r="B1258" s="680"/>
      <c r="C1258" s="680"/>
      <c r="D1258" s="910"/>
      <c r="E1258" s="680"/>
      <c r="F1258" s="680"/>
      <c r="G1258" s="680"/>
      <c r="H1258" s="911"/>
      <c r="I1258" s="912"/>
      <c r="J1258" s="912"/>
      <c r="K1258" s="913"/>
      <c r="L1258" s="913"/>
      <c r="M1258" s="913"/>
      <c r="N1258" s="913"/>
      <c r="O1258" s="913"/>
      <c r="P1258" s="913"/>
      <c r="Q1258" s="576"/>
      <c r="R1258" s="576"/>
      <c r="S1258" s="576"/>
      <c r="T1258" s="576"/>
      <c r="U1258" s="576"/>
      <c r="V1258" s="576"/>
      <c r="W1258" s="576"/>
      <c r="X1258" s="576"/>
      <c r="Y1258" s="576"/>
      <c r="Z1258" s="576"/>
    </row>
    <row r="1259" spans="1:26" ht="18.75">
      <c r="A1259" s="680"/>
      <c r="B1259" s="680"/>
      <c r="C1259" s="680"/>
      <c r="D1259" s="910"/>
      <c r="E1259" s="680"/>
      <c r="F1259" s="680"/>
      <c r="G1259" s="680"/>
      <c r="H1259" s="911"/>
      <c r="I1259" s="912"/>
      <c r="J1259" s="912"/>
      <c r="K1259" s="913"/>
      <c r="L1259" s="913"/>
      <c r="M1259" s="913"/>
      <c r="N1259" s="913"/>
      <c r="O1259" s="913"/>
      <c r="P1259" s="913"/>
      <c r="Q1259" s="576"/>
      <c r="R1259" s="576"/>
      <c r="S1259" s="576"/>
      <c r="T1259" s="576"/>
      <c r="U1259" s="576"/>
      <c r="V1259" s="576"/>
      <c r="W1259" s="576"/>
      <c r="X1259" s="576"/>
      <c r="Y1259" s="576"/>
      <c r="Z1259" s="576"/>
    </row>
    <row r="1260" spans="1:26" ht="18.75">
      <c r="A1260" s="680"/>
      <c r="B1260" s="680"/>
      <c r="C1260" s="680"/>
      <c r="D1260" s="910"/>
      <c r="E1260" s="680"/>
      <c r="F1260" s="680"/>
      <c r="G1260" s="680"/>
      <c r="H1260" s="911"/>
      <c r="I1260" s="912"/>
      <c r="J1260" s="912"/>
      <c r="K1260" s="913"/>
      <c r="L1260" s="913"/>
      <c r="M1260" s="913"/>
      <c r="N1260" s="913"/>
      <c r="O1260" s="913"/>
      <c r="P1260" s="913"/>
      <c r="Q1260" s="576"/>
      <c r="R1260" s="576"/>
      <c r="S1260" s="576"/>
      <c r="T1260" s="576"/>
      <c r="U1260" s="576"/>
      <c r="V1260" s="576"/>
      <c r="W1260" s="576"/>
      <c r="X1260" s="576"/>
      <c r="Y1260" s="576"/>
      <c r="Z1260" s="576"/>
    </row>
    <row r="1261" spans="1:26" ht="18.75">
      <c r="A1261" s="680"/>
      <c r="B1261" s="680"/>
      <c r="C1261" s="680"/>
      <c r="D1261" s="910"/>
      <c r="E1261" s="680"/>
      <c r="F1261" s="680"/>
      <c r="G1261" s="680"/>
      <c r="H1261" s="911"/>
      <c r="I1261" s="912"/>
      <c r="J1261" s="912"/>
      <c r="K1261" s="913"/>
      <c r="L1261" s="913"/>
      <c r="M1261" s="913"/>
      <c r="N1261" s="913"/>
      <c r="O1261" s="913"/>
      <c r="P1261" s="913"/>
      <c r="Q1261" s="576"/>
      <c r="R1261" s="576"/>
      <c r="S1261" s="576"/>
      <c r="T1261" s="576"/>
      <c r="U1261" s="576"/>
      <c r="V1261" s="576"/>
      <c r="W1261" s="576"/>
      <c r="X1261" s="576"/>
      <c r="Y1261" s="576"/>
      <c r="Z1261" s="576"/>
    </row>
    <row r="1262" spans="1:26" ht="18.75">
      <c r="A1262" s="680"/>
      <c r="B1262" s="680"/>
      <c r="C1262" s="680"/>
      <c r="D1262" s="910"/>
      <c r="E1262" s="680"/>
      <c r="F1262" s="680"/>
      <c r="G1262" s="680"/>
      <c r="H1262" s="911"/>
      <c r="I1262" s="912"/>
      <c r="J1262" s="912"/>
      <c r="K1262" s="913"/>
      <c r="L1262" s="913"/>
      <c r="M1262" s="913"/>
      <c r="N1262" s="913"/>
      <c r="O1262" s="913"/>
      <c r="P1262" s="913"/>
      <c r="Q1262" s="576"/>
      <c r="R1262" s="576"/>
      <c r="S1262" s="576"/>
      <c r="T1262" s="576"/>
      <c r="U1262" s="576"/>
      <c r="V1262" s="576"/>
      <c r="W1262" s="576"/>
      <c r="X1262" s="576"/>
      <c r="Y1262" s="576"/>
      <c r="Z1262" s="576"/>
    </row>
    <row r="1263" spans="1:26" ht="18.75">
      <c r="A1263" s="680"/>
      <c r="B1263" s="680"/>
      <c r="C1263" s="680"/>
      <c r="D1263" s="910"/>
      <c r="E1263" s="680"/>
      <c r="F1263" s="680"/>
      <c r="G1263" s="680"/>
      <c r="H1263" s="911"/>
      <c r="I1263" s="912"/>
      <c r="J1263" s="912"/>
      <c r="K1263" s="913"/>
      <c r="L1263" s="913"/>
      <c r="M1263" s="913"/>
      <c r="N1263" s="913"/>
      <c r="O1263" s="913"/>
      <c r="P1263" s="913"/>
      <c r="Q1263" s="576"/>
      <c r="R1263" s="576"/>
      <c r="S1263" s="576"/>
      <c r="T1263" s="576"/>
      <c r="U1263" s="576"/>
      <c r="V1263" s="576"/>
      <c r="W1263" s="576"/>
      <c r="X1263" s="576"/>
      <c r="Y1263" s="576"/>
      <c r="Z1263" s="576"/>
    </row>
    <row r="1264" spans="1:26" ht="18.75">
      <c r="A1264" s="680"/>
      <c r="B1264" s="680"/>
      <c r="C1264" s="680"/>
      <c r="D1264" s="910"/>
      <c r="E1264" s="680"/>
      <c r="F1264" s="680"/>
      <c r="G1264" s="680"/>
      <c r="H1264" s="911"/>
      <c r="I1264" s="912"/>
      <c r="J1264" s="912"/>
      <c r="K1264" s="913"/>
      <c r="L1264" s="913"/>
      <c r="M1264" s="913"/>
      <c r="N1264" s="913"/>
      <c r="O1264" s="913"/>
      <c r="P1264" s="913"/>
      <c r="Q1264" s="576"/>
      <c r="R1264" s="576"/>
      <c r="S1264" s="576"/>
      <c r="T1264" s="576"/>
      <c r="U1264" s="576"/>
      <c r="V1264" s="576"/>
      <c r="W1264" s="576"/>
      <c r="X1264" s="576"/>
      <c r="Y1264" s="576"/>
      <c r="Z1264" s="576"/>
    </row>
    <row r="1265" spans="1:26" ht="18.75">
      <c r="A1265" s="680"/>
      <c r="B1265" s="680"/>
      <c r="C1265" s="680"/>
      <c r="D1265" s="910"/>
      <c r="E1265" s="680"/>
      <c r="F1265" s="680"/>
      <c r="G1265" s="680"/>
      <c r="H1265" s="911"/>
      <c r="I1265" s="912"/>
      <c r="J1265" s="912"/>
      <c r="K1265" s="913"/>
      <c r="L1265" s="913"/>
      <c r="M1265" s="913"/>
      <c r="N1265" s="913"/>
      <c r="O1265" s="913"/>
      <c r="P1265" s="913"/>
      <c r="Q1265" s="576"/>
      <c r="R1265" s="576"/>
      <c r="S1265" s="576"/>
      <c r="T1265" s="576"/>
      <c r="U1265" s="576"/>
      <c r="V1265" s="576"/>
      <c r="W1265" s="576"/>
      <c r="X1265" s="576"/>
      <c r="Y1265" s="576"/>
      <c r="Z1265" s="576"/>
    </row>
    <row r="1266" spans="1:26" ht="18.75">
      <c r="A1266" s="680"/>
      <c r="B1266" s="680"/>
      <c r="C1266" s="680"/>
      <c r="D1266" s="910"/>
      <c r="E1266" s="680"/>
      <c r="F1266" s="680"/>
      <c r="G1266" s="680"/>
      <c r="H1266" s="911"/>
      <c r="I1266" s="912"/>
      <c r="J1266" s="912"/>
      <c r="K1266" s="913"/>
      <c r="L1266" s="913"/>
      <c r="M1266" s="913"/>
      <c r="N1266" s="913"/>
      <c r="O1266" s="913"/>
      <c r="P1266" s="913"/>
      <c r="Q1266" s="576"/>
      <c r="R1266" s="576"/>
      <c r="S1266" s="576"/>
      <c r="T1266" s="576"/>
      <c r="U1266" s="576"/>
      <c r="V1266" s="576"/>
      <c r="W1266" s="576"/>
      <c r="X1266" s="576"/>
      <c r="Y1266" s="576"/>
      <c r="Z1266" s="576"/>
    </row>
    <row r="1267" spans="1:26" ht="18.75">
      <c r="A1267" s="680"/>
      <c r="B1267" s="680"/>
      <c r="C1267" s="680"/>
      <c r="D1267" s="910"/>
      <c r="E1267" s="680"/>
      <c r="F1267" s="680"/>
      <c r="G1267" s="680"/>
      <c r="H1267" s="911"/>
      <c r="I1267" s="912"/>
      <c r="J1267" s="912"/>
      <c r="K1267" s="913"/>
      <c r="L1267" s="913"/>
      <c r="M1267" s="913"/>
      <c r="N1267" s="913"/>
      <c r="O1267" s="913"/>
      <c r="P1267" s="913"/>
      <c r="Q1267" s="576"/>
      <c r="R1267" s="576"/>
      <c r="S1267" s="576"/>
      <c r="T1267" s="576"/>
      <c r="U1267" s="576"/>
      <c r="V1267" s="576"/>
      <c r="W1267" s="576"/>
      <c r="X1267" s="576"/>
      <c r="Y1267" s="576"/>
      <c r="Z1267" s="576"/>
    </row>
    <row r="1268" spans="1:26" ht="18.75">
      <c r="A1268" s="680"/>
      <c r="B1268" s="680"/>
      <c r="C1268" s="680"/>
      <c r="D1268" s="910"/>
      <c r="E1268" s="680"/>
      <c r="F1268" s="680"/>
      <c r="G1268" s="680"/>
      <c r="H1268" s="911"/>
      <c r="I1268" s="912"/>
      <c r="J1268" s="912"/>
      <c r="K1268" s="913"/>
      <c r="L1268" s="913"/>
      <c r="M1268" s="913"/>
      <c r="N1268" s="913"/>
      <c r="O1268" s="913"/>
      <c r="P1268" s="913"/>
      <c r="Q1268" s="576"/>
      <c r="R1268" s="576"/>
      <c r="S1268" s="576"/>
      <c r="T1268" s="576"/>
      <c r="U1268" s="576"/>
      <c r="V1268" s="576"/>
      <c r="W1268" s="576"/>
      <c r="X1268" s="576"/>
      <c r="Y1268" s="576"/>
      <c r="Z1268" s="576"/>
    </row>
    <row r="1269" spans="1:26" ht="18.75">
      <c r="A1269" s="680"/>
      <c r="B1269" s="680"/>
      <c r="C1269" s="680"/>
      <c r="D1269" s="910"/>
      <c r="E1269" s="680"/>
      <c r="F1269" s="680"/>
      <c r="G1269" s="680"/>
      <c r="H1269" s="911"/>
      <c r="I1269" s="912"/>
      <c r="J1269" s="912"/>
      <c r="K1269" s="913"/>
      <c r="L1269" s="913"/>
      <c r="M1269" s="913"/>
      <c r="N1269" s="913"/>
      <c r="O1269" s="913"/>
      <c r="P1269" s="913"/>
      <c r="Q1269" s="576"/>
      <c r="R1269" s="576"/>
      <c r="S1269" s="576"/>
      <c r="T1269" s="576"/>
      <c r="U1269" s="576"/>
      <c r="V1269" s="576"/>
      <c r="W1269" s="576"/>
      <c r="X1269" s="576"/>
      <c r="Y1269" s="576"/>
      <c r="Z1269" s="576"/>
    </row>
    <row r="1270" spans="1:26" ht="18.75">
      <c r="A1270" s="680"/>
      <c r="B1270" s="680"/>
      <c r="C1270" s="680"/>
      <c r="D1270" s="910"/>
      <c r="E1270" s="680"/>
      <c r="F1270" s="680"/>
      <c r="G1270" s="680"/>
      <c r="H1270" s="911"/>
      <c r="I1270" s="912"/>
      <c r="J1270" s="912"/>
      <c r="K1270" s="913"/>
      <c r="L1270" s="913"/>
      <c r="M1270" s="913"/>
      <c r="N1270" s="913"/>
      <c r="O1270" s="913"/>
      <c r="P1270" s="913"/>
      <c r="Q1270" s="576"/>
      <c r="R1270" s="576"/>
      <c r="S1270" s="576"/>
      <c r="T1270" s="576"/>
      <c r="U1270" s="576"/>
      <c r="V1270" s="576"/>
      <c r="W1270" s="576"/>
      <c r="X1270" s="576"/>
      <c r="Y1270" s="576"/>
      <c r="Z1270" s="576"/>
    </row>
    <row r="1271" spans="1:26" ht="18.75">
      <c r="A1271" s="680"/>
      <c r="B1271" s="680"/>
      <c r="C1271" s="680"/>
      <c r="D1271" s="910"/>
      <c r="E1271" s="680"/>
      <c r="F1271" s="680"/>
      <c r="G1271" s="680"/>
      <c r="H1271" s="911"/>
      <c r="I1271" s="912"/>
      <c r="J1271" s="912"/>
      <c r="K1271" s="913"/>
      <c r="L1271" s="913"/>
      <c r="M1271" s="913"/>
      <c r="N1271" s="913"/>
      <c r="O1271" s="913"/>
      <c r="P1271" s="913"/>
      <c r="Q1271" s="576"/>
      <c r="R1271" s="576"/>
      <c r="S1271" s="576"/>
      <c r="T1271" s="576"/>
      <c r="U1271" s="576"/>
      <c r="V1271" s="576"/>
      <c r="W1271" s="576"/>
      <c r="X1271" s="576"/>
      <c r="Y1271" s="576"/>
      <c r="Z1271" s="576"/>
    </row>
    <row r="1272" spans="1:26" ht="18.75">
      <c r="A1272" s="680"/>
      <c r="B1272" s="680"/>
      <c r="C1272" s="680"/>
      <c r="D1272" s="910"/>
      <c r="E1272" s="680"/>
      <c r="F1272" s="680"/>
      <c r="G1272" s="680"/>
      <c r="H1272" s="911"/>
      <c r="I1272" s="912"/>
      <c r="J1272" s="912"/>
      <c r="K1272" s="913"/>
      <c r="L1272" s="913"/>
      <c r="M1272" s="913"/>
      <c r="N1272" s="913"/>
      <c r="O1272" s="913"/>
      <c r="P1272" s="913"/>
      <c r="Q1272" s="576"/>
      <c r="R1272" s="576"/>
      <c r="S1272" s="576"/>
      <c r="T1272" s="576"/>
      <c r="U1272" s="576"/>
      <c r="V1272" s="576"/>
      <c r="W1272" s="576"/>
      <c r="X1272" s="576"/>
      <c r="Y1272" s="576"/>
      <c r="Z1272" s="576"/>
    </row>
    <row r="1273" spans="1:26" ht="18.75">
      <c r="A1273" s="680"/>
      <c r="B1273" s="680"/>
      <c r="C1273" s="680"/>
      <c r="D1273" s="910"/>
      <c r="E1273" s="680"/>
      <c r="F1273" s="680"/>
      <c r="G1273" s="680"/>
      <c r="H1273" s="911"/>
      <c r="I1273" s="912"/>
      <c r="J1273" s="912"/>
      <c r="K1273" s="913"/>
      <c r="L1273" s="913"/>
      <c r="M1273" s="913"/>
      <c r="N1273" s="913"/>
      <c r="O1273" s="913"/>
      <c r="P1273" s="913"/>
      <c r="Q1273" s="576"/>
      <c r="R1273" s="576"/>
      <c r="S1273" s="576"/>
      <c r="T1273" s="576"/>
      <c r="U1273" s="576"/>
      <c r="V1273" s="576"/>
      <c r="W1273" s="576"/>
      <c r="X1273" s="576"/>
      <c r="Y1273" s="576"/>
      <c r="Z1273" s="576"/>
    </row>
    <row r="1274" spans="1:26" ht="18.75">
      <c r="A1274" s="680"/>
      <c r="B1274" s="680"/>
      <c r="C1274" s="680"/>
      <c r="D1274" s="910"/>
      <c r="E1274" s="680"/>
      <c r="F1274" s="680"/>
      <c r="G1274" s="680"/>
      <c r="H1274" s="911"/>
      <c r="I1274" s="912"/>
      <c r="J1274" s="912"/>
      <c r="K1274" s="913"/>
      <c r="L1274" s="913"/>
      <c r="M1274" s="913"/>
      <c r="N1274" s="913"/>
      <c r="O1274" s="913"/>
      <c r="P1274" s="913"/>
      <c r="Q1274" s="576"/>
      <c r="R1274" s="576"/>
      <c r="S1274" s="576"/>
      <c r="T1274" s="576"/>
      <c r="U1274" s="576"/>
      <c r="V1274" s="576"/>
      <c r="W1274" s="576"/>
      <c r="X1274" s="576"/>
      <c r="Y1274" s="576"/>
      <c r="Z1274" s="576"/>
    </row>
    <row r="1275" spans="1:26" ht="18.75">
      <c r="A1275" s="680"/>
      <c r="B1275" s="680"/>
      <c r="C1275" s="680"/>
      <c r="D1275" s="910"/>
      <c r="E1275" s="680"/>
      <c r="F1275" s="680"/>
      <c r="G1275" s="680"/>
      <c r="H1275" s="911"/>
      <c r="I1275" s="912"/>
      <c r="J1275" s="912"/>
      <c r="K1275" s="913"/>
      <c r="L1275" s="913"/>
      <c r="M1275" s="913"/>
      <c r="N1275" s="913"/>
      <c r="O1275" s="913"/>
      <c r="P1275" s="913"/>
      <c r="Q1275" s="576"/>
      <c r="R1275" s="576"/>
      <c r="S1275" s="576"/>
      <c r="T1275" s="576"/>
      <c r="U1275" s="576"/>
      <c r="V1275" s="576"/>
      <c r="W1275" s="576"/>
      <c r="X1275" s="576"/>
      <c r="Y1275" s="576"/>
      <c r="Z1275" s="576"/>
    </row>
    <row r="1276" spans="1:26" ht="18.75">
      <c r="A1276" s="680"/>
      <c r="B1276" s="680"/>
      <c r="C1276" s="680"/>
      <c r="D1276" s="910"/>
      <c r="E1276" s="680"/>
      <c r="F1276" s="680"/>
      <c r="G1276" s="680"/>
      <c r="H1276" s="911"/>
      <c r="I1276" s="912"/>
      <c r="J1276" s="912"/>
      <c r="K1276" s="913"/>
      <c r="L1276" s="913"/>
      <c r="M1276" s="913"/>
      <c r="N1276" s="913"/>
      <c r="O1276" s="913"/>
      <c r="P1276" s="913"/>
      <c r="Q1276" s="576"/>
      <c r="R1276" s="576"/>
      <c r="S1276" s="576"/>
      <c r="T1276" s="576"/>
      <c r="U1276" s="576"/>
      <c r="V1276" s="576"/>
      <c r="W1276" s="576"/>
      <c r="X1276" s="576"/>
      <c r="Y1276" s="576"/>
      <c r="Z1276" s="576"/>
    </row>
    <row r="1277" spans="1:26" ht="18.75">
      <c r="A1277" s="680"/>
      <c r="B1277" s="680"/>
      <c r="C1277" s="680"/>
      <c r="D1277" s="910"/>
      <c r="E1277" s="680"/>
      <c r="F1277" s="680"/>
      <c r="G1277" s="680"/>
      <c r="H1277" s="911"/>
      <c r="I1277" s="912"/>
      <c r="J1277" s="912"/>
      <c r="K1277" s="913"/>
      <c r="L1277" s="913"/>
      <c r="M1277" s="913"/>
      <c r="N1277" s="913"/>
      <c r="O1277" s="913"/>
      <c r="P1277" s="913"/>
      <c r="Q1277" s="576"/>
      <c r="R1277" s="576"/>
      <c r="S1277" s="576"/>
      <c r="T1277" s="576"/>
      <c r="U1277" s="576"/>
      <c r="V1277" s="576"/>
      <c r="W1277" s="576"/>
      <c r="X1277" s="576"/>
      <c r="Y1277" s="576"/>
      <c r="Z1277" s="576"/>
    </row>
    <row r="1278" spans="1:26" ht="18.75">
      <c r="A1278" s="680"/>
      <c r="B1278" s="680"/>
      <c r="C1278" s="680"/>
      <c r="D1278" s="910"/>
      <c r="E1278" s="680"/>
      <c r="F1278" s="680"/>
      <c r="G1278" s="680"/>
      <c r="H1278" s="911"/>
      <c r="I1278" s="912"/>
      <c r="J1278" s="912"/>
      <c r="K1278" s="913"/>
      <c r="L1278" s="913"/>
      <c r="M1278" s="913"/>
      <c r="N1278" s="913"/>
      <c r="O1278" s="913"/>
      <c r="P1278" s="913"/>
      <c r="Q1278" s="576"/>
      <c r="R1278" s="576"/>
      <c r="S1278" s="576"/>
      <c r="T1278" s="576"/>
      <c r="U1278" s="576"/>
      <c r="V1278" s="576"/>
      <c r="W1278" s="576"/>
      <c r="X1278" s="576"/>
      <c r="Y1278" s="576"/>
      <c r="Z1278" s="576"/>
    </row>
    <row r="1279" spans="1:26" ht="18.75">
      <c r="A1279" s="680"/>
      <c r="B1279" s="680"/>
      <c r="C1279" s="680"/>
      <c r="D1279" s="910"/>
      <c r="E1279" s="680"/>
      <c r="F1279" s="680"/>
      <c r="G1279" s="680"/>
      <c r="H1279" s="911"/>
      <c r="I1279" s="912"/>
      <c r="J1279" s="912"/>
      <c r="K1279" s="913"/>
      <c r="L1279" s="913"/>
      <c r="M1279" s="913"/>
      <c r="N1279" s="913"/>
      <c r="O1279" s="913"/>
      <c r="P1279" s="913"/>
      <c r="Q1279" s="576"/>
      <c r="R1279" s="576"/>
      <c r="S1279" s="576"/>
      <c r="T1279" s="576"/>
      <c r="U1279" s="576"/>
      <c r="V1279" s="576"/>
      <c r="W1279" s="576"/>
      <c r="X1279" s="576"/>
      <c r="Y1279" s="576"/>
      <c r="Z1279" s="576"/>
    </row>
    <row r="1280" spans="1:26" ht="18.75">
      <c r="A1280" s="680"/>
      <c r="B1280" s="680"/>
      <c r="C1280" s="680"/>
      <c r="D1280" s="910"/>
      <c r="E1280" s="680"/>
      <c r="F1280" s="680"/>
      <c r="G1280" s="680"/>
      <c r="H1280" s="911"/>
      <c r="I1280" s="912"/>
      <c r="J1280" s="912"/>
      <c r="K1280" s="913"/>
      <c r="L1280" s="913"/>
      <c r="M1280" s="913"/>
      <c r="N1280" s="913"/>
      <c r="O1280" s="913"/>
      <c r="P1280" s="913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</row>
    <row r="1281" spans="1:26" ht="18.75">
      <c r="A1281" s="680"/>
      <c r="B1281" s="680"/>
      <c r="C1281" s="680"/>
      <c r="D1281" s="910"/>
      <c r="E1281" s="680"/>
      <c r="F1281" s="680"/>
      <c r="G1281" s="680"/>
      <c r="H1281" s="911"/>
      <c r="I1281" s="912"/>
      <c r="J1281" s="912"/>
      <c r="K1281" s="913"/>
      <c r="L1281" s="913"/>
      <c r="M1281" s="913"/>
      <c r="N1281" s="913"/>
      <c r="O1281" s="913"/>
      <c r="P1281" s="913"/>
      <c r="Q1281" s="576"/>
      <c r="R1281" s="576"/>
      <c r="S1281" s="576"/>
      <c r="T1281" s="576"/>
      <c r="U1281" s="576"/>
      <c r="V1281" s="576"/>
      <c r="W1281" s="576"/>
      <c r="X1281" s="576"/>
      <c r="Y1281" s="576"/>
      <c r="Z1281" s="576"/>
    </row>
    <row r="1282" spans="1:26" ht="18.75">
      <c r="A1282" s="680"/>
      <c r="B1282" s="680"/>
      <c r="C1282" s="680"/>
      <c r="D1282" s="910"/>
      <c r="E1282" s="680"/>
      <c r="F1282" s="680"/>
      <c r="G1282" s="680"/>
      <c r="H1282" s="911"/>
      <c r="I1282" s="912"/>
      <c r="J1282" s="912"/>
      <c r="K1282" s="913"/>
      <c r="L1282" s="913"/>
      <c r="M1282" s="913"/>
      <c r="N1282" s="913"/>
      <c r="O1282" s="913"/>
      <c r="P1282" s="913"/>
      <c r="Q1282" s="576"/>
      <c r="R1282" s="576"/>
      <c r="S1282" s="576"/>
      <c r="T1282" s="576"/>
      <c r="U1282" s="576"/>
      <c r="V1282" s="576"/>
      <c r="W1282" s="576"/>
      <c r="X1282" s="576"/>
      <c r="Y1282" s="576"/>
      <c r="Z1282" s="576"/>
    </row>
    <row r="1283" spans="1:26" ht="18.75">
      <c r="A1283" s="680"/>
      <c r="B1283" s="680"/>
      <c r="C1283" s="680"/>
      <c r="D1283" s="910"/>
      <c r="E1283" s="680"/>
      <c r="F1283" s="680"/>
      <c r="G1283" s="680"/>
      <c r="H1283" s="911"/>
      <c r="I1283" s="912"/>
      <c r="J1283" s="912"/>
      <c r="K1283" s="913"/>
      <c r="L1283" s="913"/>
      <c r="M1283" s="913"/>
      <c r="N1283" s="913"/>
      <c r="O1283" s="913"/>
      <c r="P1283" s="913"/>
      <c r="Q1283" s="576"/>
      <c r="R1283" s="576"/>
      <c r="S1283" s="576"/>
      <c r="T1283" s="576"/>
      <c r="U1283" s="576"/>
      <c r="V1283" s="576"/>
      <c r="W1283" s="576"/>
      <c r="X1283" s="576"/>
      <c r="Y1283" s="576"/>
      <c r="Z1283" s="576"/>
    </row>
    <row r="1284" spans="1:26" ht="18.75">
      <c r="A1284" s="680"/>
      <c r="B1284" s="680"/>
      <c r="C1284" s="680"/>
      <c r="D1284" s="910"/>
      <c r="E1284" s="680"/>
      <c r="F1284" s="680"/>
      <c r="G1284" s="680"/>
      <c r="H1284" s="911"/>
      <c r="I1284" s="912"/>
      <c r="J1284" s="912"/>
      <c r="K1284" s="913"/>
      <c r="L1284" s="913"/>
      <c r="M1284" s="913"/>
      <c r="N1284" s="913"/>
      <c r="O1284" s="913"/>
      <c r="P1284" s="913"/>
      <c r="Q1284" s="576"/>
      <c r="R1284" s="576"/>
      <c r="S1284" s="576"/>
      <c r="T1284" s="576"/>
      <c r="U1284" s="576"/>
      <c r="V1284" s="576"/>
      <c r="W1284" s="576"/>
      <c r="X1284" s="576"/>
      <c r="Y1284" s="576"/>
      <c r="Z1284" s="576"/>
    </row>
    <row r="1285" spans="1:26" ht="18.75">
      <c r="A1285" s="680"/>
      <c r="B1285" s="680"/>
      <c r="C1285" s="680"/>
      <c r="D1285" s="910"/>
      <c r="E1285" s="680"/>
      <c r="F1285" s="680"/>
      <c r="G1285" s="680"/>
      <c r="H1285" s="911"/>
      <c r="I1285" s="912"/>
      <c r="J1285" s="912"/>
      <c r="K1285" s="913"/>
      <c r="L1285" s="913"/>
      <c r="M1285" s="913"/>
      <c r="N1285" s="913"/>
      <c r="O1285" s="913"/>
      <c r="P1285" s="913"/>
      <c r="Q1285" s="576"/>
      <c r="R1285" s="576"/>
      <c r="S1285" s="576"/>
      <c r="T1285" s="576"/>
      <c r="U1285" s="576"/>
      <c r="V1285" s="576"/>
      <c r="W1285" s="576"/>
      <c r="X1285" s="576"/>
      <c r="Y1285" s="576"/>
      <c r="Z1285" s="576"/>
    </row>
    <row r="1286" spans="1:26" ht="18.75">
      <c r="A1286" s="680"/>
      <c r="B1286" s="680"/>
      <c r="C1286" s="680"/>
      <c r="D1286" s="910"/>
      <c r="E1286" s="680"/>
      <c r="F1286" s="680"/>
      <c r="G1286" s="680"/>
      <c r="H1286" s="911"/>
      <c r="I1286" s="912"/>
      <c r="J1286" s="912"/>
      <c r="K1286" s="913"/>
      <c r="L1286" s="913"/>
      <c r="M1286" s="913"/>
      <c r="N1286" s="913"/>
      <c r="O1286" s="913"/>
      <c r="P1286" s="913"/>
      <c r="Q1286" s="576"/>
      <c r="R1286" s="576"/>
      <c r="S1286" s="576"/>
      <c r="T1286" s="576"/>
      <c r="U1286" s="576"/>
      <c r="V1286" s="576"/>
      <c r="W1286" s="576"/>
      <c r="X1286" s="576"/>
      <c r="Y1286" s="576"/>
      <c r="Z1286" s="576"/>
    </row>
    <row r="1287" spans="1:26" ht="18.75">
      <c r="A1287" s="680"/>
      <c r="B1287" s="680"/>
      <c r="C1287" s="680"/>
      <c r="D1287" s="910"/>
      <c r="E1287" s="680"/>
      <c r="F1287" s="680"/>
      <c r="G1287" s="680"/>
      <c r="H1287" s="911"/>
      <c r="I1287" s="912"/>
      <c r="J1287" s="912"/>
      <c r="K1287" s="913"/>
      <c r="L1287" s="913"/>
      <c r="M1287" s="913"/>
      <c r="N1287" s="913"/>
      <c r="O1287" s="913"/>
      <c r="P1287" s="913"/>
      <c r="Q1287" s="576"/>
      <c r="R1287" s="576"/>
      <c r="S1287" s="576"/>
      <c r="T1287" s="576"/>
      <c r="U1287" s="576"/>
      <c r="V1287" s="576"/>
      <c r="W1287" s="576"/>
      <c r="X1287" s="576"/>
      <c r="Y1287" s="576"/>
      <c r="Z1287" s="576"/>
    </row>
    <row r="1288" spans="1:26" ht="18.75">
      <c r="A1288" s="680"/>
      <c r="B1288" s="680"/>
      <c r="C1288" s="680"/>
      <c r="D1288" s="910"/>
      <c r="E1288" s="680"/>
      <c r="F1288" s="680"/>
      <c r="G1288" s="680"/>
      <c r="H1288" s="911"/>
      <c r="I1288" s="912"/>
      <c r="J1288" s="912"/>
      <c r="K1288" s="913"/>
      <c r="L1288" s="913"/>
      <c r="M1288" s="913"/>
      <c r="N1288" s="913"/>
      <c r="O1288" s="913"/>
      <c r="P1288" s="913"/>
      <c r="Q1288" s="576"/>
      <c r="R1288" s="576"/>
      <c r="S1288" s="576"/>
      <c r="T1288" s="576"/>
      <c r="U1288" s="576"/>
      <c r="V1288" s="576"/>
      <c r="W1288" s="576"/>
      <c r="X1288" s="576"/>
      <c r="Y1288" s="576"/>
      <c r="Z1288" s="576"/>
    </row>
    <row r="1289" spans="1:26" ht="18.75">
      <c r="A1289" s="680"/>
      <c r="B1289" s="680"/>
      <c r="C1289" s="680"/>
      <c r="D1289" s="910"/>
      <c r="E1289" s="680"/>
      <c r="F1289" s="680"/>
      <c r="G1289" s="680"/>
      <c r="H1289" s="911"/>
      <c r="I1289" s="912"/>
      <c r="J1289" s="912"/>
      <c r="K1289" s="913"/>
      <c r="L1289" s="913"/>
      <c r="M1289" s="913"/>
      <c r="N1289" s="913"/>
      <c r="O1289" s="913"/>
      <c r="P1289" s="913"/>
      <c r="Q1289" s="576"/>
      <c r="R1289" s="576"/>
      <c r="S1289" s="576"/>
      <c r="T1289" s="576"/>
      <c r="U1289" s="576"/>
      <c r="V1289" s="576"/>
      <c r="W1289" s="576"/>
      <c r="X1289" s="576"/>
      <c r="Y1289" s="576"/>
      <c r="Z1289" s="576"/>
    </row>
    <row r="1290" spans="1:26" ht="18.75">
      <c r="A1290" s="680"/>
      <c r="B1290" s="680"/>
      <c r="C1290" s="680"/>
      <c r="D1290" s="910"/>
      <c r="E1290" s="680"/>
      <c r="F1290" s="680"/>
      <c r="G1290" s="680"/>
      <c r="H1290" s="911"/>
      <c r="I1290" s="912"/>
      <c r="J1290" s="912"/>
      <c r="K1290" s="913"/>
      <c r="L1290" s="913"/>
      <c r="M1290" s="913"/>
      <c r="N1290" s="913"/>
      <c r="O1290" s="913"/>
      <c r="P1290" s="913"/>
      <c r="Q1290" s="576"/>
      <c r="R1290" s="576"/>
      <c r="S1290" s="576"/>
      <c r="T1290" s="576"/>
      <c r="U1290" s="576"/>
      <c r="V1290" s="576"/>
      <c r="W1290" s="576"/>
      <c r="X1290" s="576"/>
      <c r="Y1290" s="576"/>
      <c r="Z1290" s="576"/>
    </row>
    <row r="1291" spans="1:26" ht="18.75">
      <c r="A1291" s="680"/>
      <c r="B1291" s="680"/>
      <c r="C1291" s="680"/>
      <c r="D1291" s="910"/>
      <c r="E1291" s="680"/>
      <c r="F1291" s="680"/>
      <c r="G1291" s="680"/>
      <c r="H1291" s="911"/>
      <c r="I1291" s="912"/>
      <c r="J1291" s="912"/>
      <c r="K1291" s="913"/>
      <c r="L1291" s="913"/>
      <c r="M1291" s="913"/>
      <c r="N1291" s="913"/>
      <c r="O1291" s="913"/>
      <c r="P1291" s="913"/>
      <c r="Q1291" s="576"/>
      <c r="R1291" s="576"/>
      <c r="S1291" s="576"/>
      <c r="T1291" s="576"/>
      <c r="U1291" s="576"/>
      <c r="V1291" s="576"/>
      <c r="W1291" s="576"/>
      <c r="X1291" s="576"/>
      <c r="Y1291" s="576"/>
      <c r="Z1291" s="576"/>
    </row>
    <row r="1292" spans="1:26" ht="18.75">
      <c r="A1292" s="680"/>
      <c r="B1292" s="680"/>
      <c r="C1292" s="680"/>
      <c r="D1292" s="910"/>
      <c r="E1292" s="680"/>
      <c r="F1292" s="680"/>
      <c r="G1292" s="680"/>
      <c r="H1292" s="911"/>
      <c r="I1292" s="912"/>
      <c r="J1292" s="912"/>
      <c r="K1292" s="913"/>
      <c r="L1292" s="913"/>
      <c r="M1292" s="913"/>
      <c r="N1292" s="913"/>
      <c r="O1292" s="913"/>
      <c r="P1292" s="913"/>
      <c r="Q1292" s="576"/>
      <c r="R1292" s="576"/>
      <c r="S1292" s="576"/>
      <c r="T1292" s="576"/>
      <c r="U1292" s="576"/>
      <c r="V1292" s="576"/>
      <c r="W1292" s="576"/>
      <c r="X1292" s="576"/>
      <c r="Y1292" s="576"/>
      <c r="Z1292" s="576"/>
    </row>
    <row r="1293" spans="1:26" ht="18.75">
      <c r="A1293" s="680"/>
      <c r="B1293" s="680"/>
      <c r="C1293" s="680"/>
      <c r="D1293" s="910"/>
      <c r="E1293" s="680"/>
      <c r="F1293" s="680"/>
      <c r="G1293" s="680"/>
      <c r="H1293" s="911"/>
      <c r="I1293" s="912"/>
      <c r="J1293" s="912"/>
      <c r="K1293" s="913"/>
      <c r="L1293" s="913"/>
      <c r="M1293" s="913"/>
      <c r="N1293" s="913"/>
      <c r="O1293" s="913"/>
      <c r="P1293" s="913"/>
      <c r="Q1293" s="576"/>
      <c r="R1293" s="576"/>
      <c r="S1293" s="576"/>
      <c r="T1293" s="576"/>
      <c r="U1293" s="576"/>
      <c r="V1293" s="576"/>
      <c r="W1293" s="576"/>
      <c r="X1293" s="576"/>
      <c r="Y1293" s="576"/>
      <c r="Z1293" s="576"/>
    </row>
    <row r="1294" spans="1:26" ht="18.75">
      <c r="A1294" s="680"/>
      <c r="B1294" s="680"/>
      <c r="C1294" s="680"/>
      <c r="D1294" s="910"/>
      <c r="E1294" s="680"/>
      <c r="F1294" s="680"/>
      <c r="G1294" s="680"/>
      <c r="H1294" s="911"/>
      <c r="I1294" s="912"/>
      <c r="J1294" s="912"/>
      <c r="K1294" s="913"/>
      <c r="L1294" s="913"/>
      <c r="M1294" s="913"/>
      <c r="N1294" s="913"/>
      <c r="O1294" s="913"/>
      <c r="P1294" s="913"/>
      <c r="Q1294" s="576"/>
      <c r="R1294" s="576"/>
      <c r="S1294" s="576"/>
      <c r="T1294" s="576"/>
      <c r="U1294" s="576"/>
      <c r="V1294" s="576"/>
      <c r="W1294" s="576"/>
      <c r="X1294" s="576"/>
      <c r="Y1294" s="576"/>
      <c r="Z1294" s="576"/>
    </row>
    <row r="1295" spans="1:26" ht="18.75">
      <c r="A1295" s="680"/>
      <c r="B1295" s="680"/>
      <c r="C1295" s="680"/>
      <c r="D1295" s="910"/>
      <c r="E1295" s="680"/>
      <c r="F1295" s="680"/>
      <c r="G1295" s="680"/>
      <c r="H1295" s="911"/>
      <c r="I1295" s="912"/>
      <c r="J1295" s="912"/>
      <c r="K1295" s="913"/>
      <c r="L1295" s="913"/>
      <c r="M1295" s="913"/>
      <c r="N1295" s="913"/>
      <c r="O1295" s="913"/>
      <c r="P1295" s="913"/>
      <c r="Q1295" s="576"/>
      <c r="R1295" s="576"/>
      <c r="S1295" s="576"/>
      <c r="T1295" s="576"/>
      <c r="U1295" s="576"/>
      <c r="V1295" s="576"/>
      <c r="W1295" s="576"/>
      <c r="X1295" s="576"/>
      <c r="Y1295" s="576"/>
      <c r="Z1295" s="576"/>
    </row>
    <row r="1296" spans="1:26" ht="18.75">
      <c r="A1296" s="680"/>
      <c r="B1296" s="680"/>
      <c r="C1296" s="680"/>
      <c r="D1296" s="910"/>
      <c r="E1296" s="680"/>
      <c r="F1296" s="680"/>
      <c r="G1296" s="680"/>
      <c r="H1296" s="911"/>
      <c r="I1296" s="912"/>
      <c r="J1296" s="912"/>
      <c r="K1296" s="913"/>
      <c r="L1296" s="913"/>
      <c r="M1296" s="913"/>
      <c r="N1296" s="913"/>
      <c r="O1296" s="913"/>
      <c r="P1296" s="913"/>
      <c r="Q1296" s="576"/>
      <c r="R1296" s="576"/>
      <c r="S1296" s="576"/>
      <c r="T1296" s="576"/>
      <c r="U1296" s="576"/>
      <c r="V1296" s="576"/>
      <c r="W1296" s="576"/>
      <c r="X1296" s="576"/>
      <c r="Y1296" s="576"/>
      <c r="Z1296" s="576"/>
    </row>
    <row r="1297" spans="1:26" ht="18.75">
      <c r="A1297" s="680"/>
      <c r="B1297" s="680"/>
      <c r="C1297" s="680"/>
      <c r="D1297" s="910"/>
      <c r="E1297" s="680"/>
      <c r="F1297" s="680"/>
      <c r="G1297" s="680"/>
      <c r="H1297" s="911"/>
      <c r="I1297" s="912"/>
      <c r="J1297" s="912"/>
      <c r="K1297" s="913"/>
      <c r="L1297" s="913"/>
      <c r="M1297" s="913"/>
      <c r="N1297" s="913"/>
      <c r="O1297" s="913"/>
      <c r="P1297" s="913"/>
      <c r="Q1297" s="576"/>
      <c r="R1297" s="576"/>
      <c r="S1297" s="576"/>
      <c r="T1297" s="576"/>
      <c r="U1297" s="576"/>
      <c r="V1297" s="576"/>
      <c r="W1297" s="576"/>
      <c r="X1297" s="576"/>
      <c r="Y1297" s="576"/>
      <c r="Z1297" s="576"/>
    </row>
    <row r="1298" spans="1:26" ht="18.75">
      <c r="A1298" s="680"/>
      <c r="B1298" s="680"/>
      <c r="C1298" s="680"/>
      <c r="D1298" s="910"/>
      <c r="E1298" s="680"/>
      <c r="F1298" s="680"/>
      <c r="G1298" s="680"/>
      <c r="H1298" s="911"/>
      <c r="I1298" s="912"/>
      <c r="J1298" s="912"/>
      <c r="K1298" s="913"/>
      <c r="L1298" s="913"/>
      <c r="M1298" s="913"/>
      <c r="N1298" s="913"/>
      <c r="O1298" s="913"/>
      <c r="P1298" s="913"/>
      <c r="Q1298" s="576"/>
      <c r="R1298" s="576"/>
      <c r="S1298" s="576"/>
      <c r="T1298" s="576"/>
      <c r="U1298" s="576"/>
      <c r="V1298" s="576"/>
      <c r="W1298" s="576"/>
      <c r="X1298" s="576"/>
      <c r="Y1298" s="576"/>
      <c r="Z1298" s="576"/>
    </row>
    <row r="1299" spans="1:26" ht="18.75">
      <c r="A1299" s="680"/>
      <c r="B1299" s="680"/>
      <c r="C1299" s="680"/>
      <c r="D1299" s="910"/>
      <c r="E1299" s="680"/>
      <c r="F1299" s="680"/>
      <c r="G1299" s="680"/>
      <c r="H1299" s="911"/>
      <c r="I1299" s="912"/>
      <c r="J1299" s="912"/>
      <c r="K1299" s="913"/>
      <c r="L1299" s="913"/>
      <c r="M1299" s="913"/>
      <c r="N1299" s="913"/>
      <c r="O1299" s="913"/>
      <c r="P1299" s="913"/>
      <c r="Q1299" s="576"/>
      <c r="R1299" s="576"/>
      <c r="S1299" s="576"/>
      <c r="T1299" s="576"/>
      <c r="U1299" s="576"/>
      <c r="V1299" s="576"/>
      <c r="W1299" s="576"/>
      <c r="X1299" s="576"/>
      <c r="Y1299" s="576"/>
      <c r="Z1299" s="576"/>
    </row>
    <row r="1300" spans="1:26" ht="18.75">
      <c r="A1300" s="680"/>
      <c r="B1300" s="680"/>
      <c r="C1300" s="680"/>
      <c r="D1300" s="910"/>
      <c r="E1300" s="680"/>
      <c r="F1300" s="680"/>
      <c r="G1300" s="680"/>
      <c r="H1300" s="911"/>
      <c r="I1300" s="912"/>
      <c r="J1300" s="912"/>
      <c r="K1300" s="913"/>
      <c r="L1300" s="913"/>
      <c r="M1300" s="913"/>
      <c r="N1300" s="913"/>
      <c r="O1300" s="913"/>
      <c r="P1300" s="913"/>
      <c r="Q1300" s="576"/>
      <c r="R1300" s="576"/>
      <c r="S1300" s="576"/>
      <c r="T1300" s="576"/>
      <c r="U1300" s="576"/>
      <c r="V1300" s="576"/>
      <c r="W1300" s="576"/>
      <c r="X1300" s="576"/>
      <c r="Y1300" s="576"/>
      <c r="Z1300" s="576"/>
    </row>
    <row r="1301" spans="1:26" ht="18.75">
      <c r="A1301" s="680"/>
      <c r="B1301" s="680"/>
      <c r="C1301" s="680"/>
      <c r="D1301" s="910"/>
      <c r="E1301" s="680"/>
      <c r="F1301" s="680"/>
      <c r="G1301" s="680"/>
      <c r="H1301" s="911"/>
      <c r="I1301" s="912"/>
      <c r="J1301" s="912"/>
      <c r="K1301" s="913"/>
      <c r="L1301" s="913"/>
      <c r="M1301" s="913"/>
      <c r="N1301" s="913"/>
      <c r="O1301" s="913"/>
      <c r="P1301" s="913"/>
      <c r="Q1301" s="576"/>
      <c r="R1301" s="576"/>
      <c r="S1301" s="576"/>
      <c r="T1301" s="576"/>
      <c r="U1301" s="576"/>
      <c r="V1301" s="576"/>
      <c r="W1301" s="576"/>
      <c r="X1301" s="576"/>
      <c r="Y1301" s="576"/>
      <c r="Z1301" s="576"/>
    </row>
    <row r="1302" spans="1:26" ht="18.75">
      <c r="A1302" s="680"/>
      <c r="B1302" s="680"/>
      <c r="C1302" s="680"/>
      <c r="D1302" s="910"/>
      <c r="E1302" s="680"/>
      <c r="F1302" s="680"/>
      <c r="G1302" s="680"/>
      <c r="H1302" s="911"/>
      <c r="I1302" s="912"/>
      <c r="J1302" s="912"/>
      <c r="K1302" s="913"/>
      <c r="L1302" s="913"/>
      <c r="M1302" s="913"/>
      <c r="N1302" s="913"/>
      <c r="O1302" s="913"/>
      <c r="P1302" s="913"/>
      <c r="Q1302" s="576"/>
      <c r="R1302" s="576"/>
      <c r="S1302" s="576"/>
      <c r="T1302" s="576"/>
      <c r="U1302" s="576"/>
      <c r="V1302" s="576"/>
      <c r="W1302" s="576"/>
      <c r="X1302" s="576"/>
      <c r="Y1302" s="576"/>
      <c r="Z1302" s="576"/>
    </row>
    <row r="1303" spans="1:26" ht="18.75">
      <c r="A1303" s="680"/>
      <c r="B1303" s="680"/>
      <c r="C1303" s="680"/>
      <c r="D1303" s="910"/>
      <c r="E1303" s="680"/>
      <c r="F1303" s="680"/>
      <c r="G1303" s="680"/>
      <c r="H1303" s="911"/>
      <c r="I1303" s="912"/>
      <c r="J1303" s="912"/>
      <c r="K1303" s="913"/>
      <c r="L1303" s="913"/>
      <c r="M1303" s="913"/>
      <c r="N1303" s="913"/>
      <c r="O1303" s="913"/>
      <c r="P1303" s="913"/>
      <c r="Q1303" s="576"/>
      <c r="R1303" s="576"/>
      <c r="S1303" s="576"/>
      <c r="T1303" s="576"/>
      <c r="U1303" s="576"/>
      <c r="V1303" s="576"/>
      <c r="W1303" s="576"/>
      <c r="X1303" s="576"/>
      <c r="Y1303" s="576"/>
      <c r="Z1303" s="576"/>
    </row>
    <row r="1304" spans="1:26" ht="18.75">
      <c r="A1304" s="680"/>
      <c r="B1304" s="680"/>
      <c r="C1304" s="680"/>
      <c r="D1304" s="910"/>
      <c r="E1304" s="680"/>
      <c r="F1304" s="680"/>
      <c r="G1304" s="680"/>
      <c r="H1304" s="911"/>
      <c r="I1304" s="912"/>
      <c r="J1304" s="912"/>
      <c r="K1304" s="913"/>
      <c r="L1304" s="913"/>
      <c r="M1304" s="913"/>
      <c r="N1304" s="913"/>
      <c r="O1304" s="913"/>
      <c r="P1304" s="913"/>
      <c r="Q1304" s="576"/>
      <c r="R1304" s="576"/>
      <c r="S1304" s="576"/>
      <c r="T1304" s="576"/>
      <c r="U1304" s="576"/>
      <c r="V1304" s="576"/>
      <c r="W1304" s="576"/>
      <c r="X1304" s="576"/>
      <c r="Y1304" s="576"/>
      <c r="Z1304" s="576"/>
    </row>
    <row r="1305" spans="1:26" ht="18.75">
      <c r="A1305" s="680"/>
      <c r="B1305" s="680"/>
      <c r="C1305" s="680"/>
      <c r="D1305" s="910"/>
      <c r="E1305" s="680"/>
      <c r="F1305" s="680"/>
      <c r="G1305" s="680"/>
      <c r="H1305" s="911"/>
      <c r="I1305" s="912"/>
      <c r="J1305" s="912"/>
      <c r="K1305" s="913"/>
      <c r="L1305" s="913"/>
      <c r="M1305" s="913"/>
      <c r="N1305" s="913"/>
      <c r="O1305" s="913"/>
      <c r="P1305" s="913"/>
      <c r="Q1305" s="576"/>
      <c r="R1305" s="576"/>
      <c r="S1305" s="576"/>
      <c r="T1305" s="576"/>
      <c r="U1305" s="576"/>
      <c r="V1305" s="576"/>
      <c r="W1305" s="576"/>
      <c r="X1305" s="576"/>
      <c r="Y1305" s="576"/>
      <c r="Z1305" s="576"/>
    </row>
    <row r="1306" spans="1:26" ht="18.75">
      <c r="A1306" s="680"/>
      <c r="B1306" s="680"/>
      <c r="C1306" s="680"/>
      <c r="D1306" s="910"/>
      <c r="E1306" s="680"/>
      <c r="F1306" s="680"/>
      <c r="G1306" s="680"/>
      <c r="H1306" s="911"/>
      <c r="I1306" s="912"/>
      <c r="J1306" s="912"/>
      <c r="K1306" s="913"/>
      <c r="L1306" s="913"/>
      <c r="M1306" s="913"/>
      <c r="N1306" s="913"/>
      <c r="O1306" s="913"/>
      <c r="P1306" s="913"/>
      <c r="Q1306" s="576"/>
      <c r="R1306" s="576"/>
      <c r="S1306" s="576"/>
      <c r="T1306" s="576"/>
      <c r="U1306" s="576"/>
      <c r="V1306" s="576"/>
      <c r="W1306" s="576"/>
      <c r="X1306" s="576"/>
      <c r="Y1306" s="576"/>
      <c r="Z1306" s="576"/>
    </row>
    <row r="1307" spans="1:26" ht="18.75">
      <c r="A1307" s="680"/>
      <c r="B1307" s="680"/>
      <c r="C1307" s="680"/>
      <c r="D1307" s="910"/>
      <c r="E1307" s="680"/>
      <c r="F1307" s="680"/>
      <c r="G1307" s="680"/>
      <c r="H1307" s="911"/>
      <c r="I1307" s="912"/>
      <c r="J1307" s="912"/>
      <c r="K1307" s="913"/>
      <c r="L1307" s="913"/>
      <c r="M1307" s="913"/>
      <c r="N1307" s="913"/>
      <c r="O1307" s="913"/>
      <c r="P1307" s="913"/>
      <c r="Q1307" s="576"/>
      <c r="R1307" s="576"/>
      <c r="S1307" s="576"/>
      <c r="T1307" s="576"/>
      <c r="U1307" s="576"/>
      <c r="V1307" s="576"/>
      <c r="W1307" s="576"/>
      <c r="X1307" s="576"/>
      <c r="Y1307" s="576"/>
      <c r="Z1307" s="576"/>
    </row>
    <row r="1308" spans="1:26" ht="18.75">
      <c r="A1308" s="680"/>
      <c r="B1308" s="680"/>
      <c r="C1308" s="680"/>
      <c r="D1308" s="910"/>
      <c r="E1308" s="680"/>
      <c r="F1308" s="680"/>
      <c r="G1308" s="680"/>
      <c r="H1308" s="911"/>
      <c r="I1308" s="912"/>
      <c r="J1308" s="912"/>
      <c r="K1308" s="913"/>
      <c r="L1308" s="913"/>
      <c r="M1308" s="913"/>
      <c r="N1308" s="913"/>
      <c r="O1308" s="913"/>
      <c r="P1308" s="913"/>
      <c r="Q1308" s="576"/>
      <c r="R1308" s="576"/>
      <c r="S1308" s="576"/>
      <c r="T1308" s="576"/>
      <c r="U1308" s="576"/>
      <c r="V1308" s="576"/>
      <c r="W1308" s="576"/>
      <c r="X1308" s="576"/>
      <c r="Y1308" s="576"/>
      <c r="Z1308" s="576"/>
    </row>
    <row r="1309" spans="1:26" ht="18.75">
      <c r="A1309" s="680"/>
      <c r="B1309" s="680"/>
      <c r="C1309" s="680"/>
      <c r="D1309" s="910"/>
      <c r="E1309" s="680"/>
      <c r="F1309" s="680"/>
      <c r="G1309" s="680"/>
      <c r="H1309" s="911"/>
      <c r="I1309" s="912"/>
      <c r="J1309" s="912"/>
      <c r="K1309" s="913"/>
      <c r="L1309" s="913"/>
      <c r="M1309" s="913"/>
      <c r="N1309" s="913"/>
      <c r="O1309" s="913"/>
      <c r="P1309" s="913"/>
      <c r="Q1309" s="576"/>
      <c r="R1309" s="576"/>
      <c r="S1309" s="576"/>
      <c r="T1309" s="576"/>
      <c r="U1309" s="576"/>
      <c r="V1309" s="576"/>
      <c r="W1309" s="576"/>
      <c r="X1309" s="576"/>
      <c r="Y1309" s="576"/>
      <c r="Z1309" s="576"/>
    </row>
    <row r="1310" spans="1:26" ht="18.75">
      <c r="A1310" s="680"/>
      <c r="B1310" s="680"/>
      <c r="C1310" s="680"/>
      <c r="D1310" s="910"/>
      <c r="E1310" s="680"/>
      <c r="F1310" s="680"/>
      <c r="G1310" s="680"/>
      <c r="H1310" s="911"/>
      <c r="I1310" s="912"/>
      <c r="J1310" s="912"/>
      <c r="K1310" s="913"/>
      <c r="L1310" s="913"/>
      <c r="M1310" s="913"/>
      <c r="N1310" s="913"/>
      <c r="O1310" s="913"/>
      <c r="P1310" s="913"/>
      <c r="Q1310" s="576"/>
      <c r="R1310" s="576"/>
      <c r="S1310" s="576"/>
      <c r="T1310" s="576"/>
      <c r="U1310" s="576"/>
      <c r="V1310" s="576"/>
      <c r="W1310" s="576"/>
      <c r="X1310" s="576"/>
      <c r="Y1310" s="576"/>
      <c r="Z1310" s="576"/>
    </row>
    <row r="1311" spans="1:26" ht="18.75">
      <c r="A1311" s="680"/>
      <c r="B1311" s="680"/>
      <c r="C1311" s="680"/>
      <c r="D1311" s="910"/>
      <c r="E1311" s="680"/>
      <c r="F1311" s="680"/>
      <c r="G1311" s="680"/>
      <c r="H1311" s="911"/>
      <c r="I1311" s="912"/>
      <c r="J1311" s="912"/>
      <c r="K1311" s="913"/>
      <c r="L1311" s="913"/>
      <c r="M1311" s="913"/>
      <c r="N1311" s="913"/>
      <c r="O1311" s="913"/>
      <c r="P1311" s="913"/>
      <c r="Q1311" s="576"/>
      <c r="R1311" s="576"/>
      <c r="S1311" s="576"/>
      <c r="T1311" s="576"/>
      <c r="U1311" s="576"/>
      <c r="V1311" s="576"/>
      <c r="W1311" s="576"/>
      <c r="X1311" s="576"/>
      <c r="Y1311" s="576"/>
      <c r="Z1311" s="576"/>
    </row>
    <row r="1312" spans="1:26" ht="18.75">
      <c r="A1312" s="680"/>
      <c r="B1312" s="680"/>
      <c r="C1312" s="680"/>
      <c r="D1312" s="910"/>
      <c r="E1312" s="680"/>
      <c r="F1312" s="680"/>
      <c r="G1312" s="680"/>
      <c r="H1312" s="911"/>
      <c r="I1312" s="912"/>
      <c r="J1312" s="912"/>
      <c r="K1312" s="913"/>
      <c r="L1312" s="913"/>
      <c r="M1312" s="913"/>
      <c r="N1312" s="913"/>
      <c r="O1312" s="913"/>
      <c r="P1312" s="913"/>
      <c r="Q1312" s="576"/>
      <c r="R1312" s="576"/>
      <c r="S1312" s="576"/>
      <c r="T1312" s="576"/>
      <c r="U1312" s="576"/>
      <c r="V1312" s="576"/>
      <c r="W1312" s="576"/>
      <c r="X1312" s="576"/>
      <c r="Y1312" s="576"/>
      <c r="Z1312" s="576"/>
    </row>
    <row r="1313" spans="1:26" ht="18.75">
      <c r="A1313" s="680"/>
      <c r="B1313" s="680"/>
      <c r="C1313" s="680"/>
      <c r="D1313" s="910"/>
      <c r="E1313" s="680"/>
      <c r="F1313" s="680"/>
      <c r="G1313" s="680"/>
      <c r="H1313" s="911"/>
      <c r="I1313" s="912"/>
      <c r="J1313" s="912"/>
      <c r="K1313" s="913"/>
      <c r="L1313" s="913"/>
      <c r="M1313" s="913"/>
      <c r="N1313" s="913"/>
      <c r="O1313" s="913"/>
      <c r="P1313" s="913"/>
      <c r="Q1313" s="576"/>
      <c r="R1313" s="576"/>
      <c r="S1313" s="576"/>
      <c r="T1313" s="576"/>
      <c r="U1313" s="576"/>
      <c r="V1313" s="576"/>
      <c r="W1313" s="576"/>
      <c r="X1313" s="576"/>
      <c r="Y1313" s="576"/>
      <c r="Z1313" s="576"/>
    </row>
    <row r="1314" spans="1:26" ht="18.75">
      <c r="A1314" s="680"/>
      <c r="B1314" s="680"/>
      <c r="C1314" s="680"/>
      <c r="D1314" s="910"/>
      <c r="E1314" s="680"/>
      <c r="F1314" s="680"/>
      <c r="G1314" s="680"/>
      <c r="H1314" s="911"/>
      <c r="I1314" s="912"/>
      <c r="J1314" s="912"/>
      <c r="K1314" s="913"/>
      <c r="L1314" s="913"/>
      <c r="M1314" s="913"/>
      <c r="N1314" s="913"/>
      <c r="O1314" s="913"/>
      <c r="P1314" s="913"/>
      <c r="Q1314" s="576"/>
      <c r="R1314" s="576"/>
      <c r="S1314" s="576"/>
      <c r="T1314" s="576"/>
      <c r="U1314" s="576"/>
      <c r="V1314" s="576"/>
      <c r="W1314" s="576"/>
      <c r="X1314" s="576"/>
      <c r="Y1314" s="576"/>
      <c r="Z1314" s="576"/>
    </row>
    <row r="1315" spans="1:26" ht="18.75">
      <c r="A1315" s="680"/>
      <c r="B1315" s="680"/>
      <c r="C1315" s="680"/>
      <c r="D1315" s="910"/>
      <c r="E1315" s="680"/>
      <c r="F1315" s="680"/>
      <c r="G1315" s="680"/>
      <c r="H1315" s="911"/>
      <c r="I1315" s="912"/>
      <c r="J1315" s="912"/>
      <c r="K1315" s="913"/>
      <c r="L1315" s="913"/>
      <c r="M1315" s="913"/>
      <c r="N1315" s="913"/>
      <c r="O1315" s="913"/>
      <c r="P1315" s="913"/>
      <c r="Q1315" s="576"/>
      <c r="R1315" s="576"/>
      <c r="S1315" s="576"/>
      <c r="T1315" s="576"/>
      <c r="U1315" s="576"/>
      <c r="V1315" s="576"/>
      <c r="W1315" s="576"/>
      <c r="X1315" s="576"/>
      <c r="Y1315" s="576"/>
      <c r="Z1315" s="576"/>
    </row>
    <row r="1316" spans="1:26" ht="18.75">
      <c r="A1316" s="680"/>
      <c r="B1316" s="680"/>
      <c r="C1316" s="680"/>
      <c r="D1316" s="910"/>
      <c r="E1316" s="680"/>
      <c r="F1316" s="680"/>
      <c r="G1316" s="680"/>
      <c r="H1316" s="911"/>
      <c r="I1316" s="912"/>
      <c r="J1316" s="912"/>
      <c r="K1316" s="913"/>
      <c r="L1316" s="913"/>
      <c r="M1316" s="913"/>
      <c r="N1316" s="913"/>
      <c r="O1316" s="913"/>
      <c r="P1316" s="913"/>
      <c r="Q1316" s="576"/>
      <c r="R1316" s="576"/>
      <c r="S1316" s="576"/>
      <c r="T1316" s="576"/>
      <c r="U1316" s="576"/>
      <c r="V1316" s="576"/>
      <c r="W1316" s="576"/>
      <c r="X1316" s="576"/>
      <c r="Y1316" s="576"/>
      <c r="Z1316" s="576"/>
    </row>
    <row r="1317" spans="1:26" ht="18.75">
      <c r="A1317" s="680"/>
      <c r="B1317" s="680"/>
      <c r="C1317" s="680"/>
      <c r="D1317" s="910"/>
      <c r="E1317" s="680"/>
      <c r="F1317" s="680"/>
      <c r="G1317" s="680"/>
      <c r="H1317" s="911"/>
      <c r="I1317" s="912"/>
      <c r="J1317" s="912"/>
      <c r="K1317" s="913"/>
      <c r="L1317" s="913"/>
      <c r="M1317" s="913"/>
      <c r="N1317" s="913"/>
      <c r="O1317" s="913"/>
      <c r="P1317" s="913"/>
      <c r="Q1317" s="576"/>
      <c r="R1317" s="576"/>
      <c r="S1317" s="576"/>
      <c r="T1317" s="576"/>
      <c r="U1317" s="576"/>
      <c r="V1317" s="576"/>
      <c r="W1317" s="576"/>
      <c r="X1317" s="576"/>
      <c r="Y1317" s="576"/>
      <c r="Z1317" s="576"/>
    </row>
    <row r="1318" spans="1:26" ht="18.75">
      <c r="A1318" s="680"/>
      <c r="B1318" s="680"/>
      <c r="C1318" s="680"/>
      <c r="D1318" s="910"/>
      <c r="E1318" s="680"/>
      <c r="F1318" s="680"/>
      <c r="G1318" s="680"/>
      <c r="H1318" s="911"/>
      <c r="I1318" s="912"/>
      <c r="J1318" s="912"/>
      <c r="K1318" s="913"/>
      <c r="L1318" s="913"/>
      <c r="M1318" s="913"/>
      <c r="N1318" s="913"/>
      <c r="O1318" s="913"/>
      <c r="P1318" s="913"/>
      <c r="Q1318" s="576"/>
      <c r="R1318" s="576"/>
      <c r="S1318" s="576"/>
      <c r="T1318" s="576"/>
      <c r="U1318" s="576"/>
      <c r="V1318" s="576"/>
      <c r="W1318" s="576"/>
      <c r="X1318" s="576"/>
      <c r="Y1318" s="576"/>
      <c r="Z1318" s="576"/>
    </row>
    <row r="1319" spans="1:26" ht="18.75">
      <c r="A1319" s="680"/>
      <c r="B1319" s="680"/>
      <c r="C1319" s="680"/>
      <c r="D1319" s="910"/>
      <c r="E1319" s="680"/>
      <c r="F1319" s="680"/>
      <c r="G1319" s="680"/>
      <c r="H1319" s="911"/>
      <c r="I1319" s="912"/>
      <c r="J1319" s="912"/>
      <c r="K1319" s="913"/>
      <c r="L1319" s="913"/>
      <c r="M1319" s="913"/>
      <c r="N1319" s="913"/>
      <c r="O1319" s="913"/>
      <c r="P1319" s="913"/>
      <c r="Q1319" s="576"/>
      <c r="R1319" s="576"/>
      <c r="S1319" s="576"/>
      <c r="T1319" s="576"/>
      <c r="U1319" s="576"/>
      <c r="V1319" s="576"/>
      <c r="W1319" s="576"/>
      <c r="X1319" s="576"/>
      <c r="Y1319" s="576"/>
      <c r="Z1319" s="576"/>
    </row>
    <row r="1320" spans="1:26" ht="18.75">
      <c r="A1320" s="680"/>
      <c r="B1320" s="680"/>
      <c r="C1320" s="680"/>
      <c r="D1320" s="910"/>
      <c r="E1320" s="680"/>
      <c r="F1320" s="680"/>
      <c r="G1320" s="680"/>
      <c r="H1320" s="911"/>
      <c r="I1320" s="912"/>
      <c r="J1320" s="912"/>
      <c r="K1320" s="913"/>
      <c r="L1320" s="913"/>
      <c r="M1320" s="913"/>
      <c r="N1320" s="913"/>
      <c r="O1320" s="913"/>
      <c r="P1320" s="913"/>
      <c r="Q1320" s="576"/>
      <c r="R1320" s="576"/>
      <c r="S1320" s="576"/>
      <c r="T1320" s="576"/>
      <c r="U1320" s="576"/>
      <c r="V1320" s="576"/>
      <c r="W1320" s="576"/>
      <c r="X1320" s="576"/>
      <c r="Y1320" s="576"/>
      <c r="Z1320" s="576"/>
    </row>
    <row r="1321" spans="1:26" ht="18.75">
      <c r="A1321" s="680"/>
      <c r="B1321" s="680"/>
      <c r="C1321" s="680"/>
      <c r="D1321" s="910"/>
      <c r="E1321" s="680"/>
      <c r="F1321" s="680"/>
      <c r="G1321" s="680"/>
      <c r="H1321" s="911"/>
      <c r="I1321" s="912"/>
      <c r="J1321" s="912"/>
      <c r="K1321" s="913"/>
      <c r="L1321" s="913"/>
      <c r="M1321" s="913"/>
      <c r="N1321" s="913"/>
      <c r="O1321" s="913"/>
      <c r="P1321" s="913"/>
      <c r="Q1321" s="576"/>
      <c r="R1321" s="576"/>
      <c r="S1321" s="576"/>
      <c r="T1321" s="576"/>
      <c r="U1321" s="576"/>
      <c r="V1321" s="576"/>
      <c r="W1321" s="576"/>
      <c r="X1321" s="576"/>
      <c r="Y1321" s="576"/>
      <c r="Z1321" s="576"/>
    </row>
    <row r="1322" spans="1:26" ht="18.75">
      <c r="A1322" s="680"/>
      <c r="B1322" s="680"/>
      <c r="C1322" s="680"/>
      <c r="D1322" s="910"/>
      <c r="E1322" s="680"/>
      <c r="F1322" s="680"/>
      <c r="G1322" s="680"/>
      <c r="H1322" s="911"/>
      <c r="I1322" s="912"/>
      <c r="J1322" s="912"/>
      <c r="K1322" s="913"/>
      <c r="L1322" s="913"/>
      <c r="M1322" s="913"/>
      <c r="N1322" s="913"/>
      <c r="O1322" s="913"/>
      <c r="P1322" s="913"/>
      <c r="Q1322" s="576"/>
      <c r="R1322" s="576"/>
      <c r="S1322" s="576"/>
      <c r="T1322" s="576"/>
      <c r="U1322" s="576"/>
      <c r="V1322" s="576"/>
      <c r="W1322" s="576"/>
      <c r="X1322" s="576"/>
      <c r="Y1322" s="576"/>
      <c r="Z1322" s="576"/>
    </row>
    <row r="1323" spans="1:26" ht="18.75">
      <c r="A1323" s="680"/>
      <c r="B1323" s="680"/>
      <c r="C1323" s="680"/>
      <c r="D1323" s="910"/>
      <c r="E1323" s="680"/>
      <c r="F1323" s="680"/>
      <c r="G1323" s="680"/>
      <c r="H1323" s="911"/>
      <c r="I1323" s="912"/>
      <c r="J1323" s="912"/>
      <c r="K1323" s="913"/>
      <c r="L1323" s="913"/>
      <c r="M1323" s="913"/>
      <c r="N1323" s="913"/>
      <c r="O1323" s="913"/>
      <c r="P1323" s="913"/>
      <c r="Q1323" s="576"/>
      <c r="R1323" s="576"/>
      <c r="S1323" s="576"/>
      <c r="T1323" s="576"/>
      <c r="U1323" s="576"/>
      <c r="V1323" s="576"/>
      <c r="W1323" s="576"/>
      <c r="X1323" s="576"/>
      <c r="Y1323" s="576"/>
      <c r="Z1323" s="576"/>
    </row>
    <row r="1324" spans="1:26" ht="18.75">
      <c r="A1324" s="680"/>
      <c r="B1324" s="680"/>
      <c r="C1324" s="680"/>
      <c r="D1324" s="910"/>
      <c r="E1324" s="680"/>
      <c r="F1324" s="680"/>
      <c r="G1324" s="680"/>
      <c r="H1324" s="911"/>
      <c r="I1324" s="912"/>
      <c r="J1324" s="912"/>
      <c r="K1324" s="913"/>
      <c r="L1324" s="913"/>
      <c r="M1324" s="913"/>
      <c r="N1324" s="913"/>
      <c r="O1324" s="913"/>
      <c r="P1324" s="913"/>
      <c r="Q1324" s="576"/>
      <c r="R1324" s="576"/>
      <c r="S1324" s="576"/>
      <c r="T1324" s="576"/>
      <c r="U1324" s="576"/>
      <c r="V1324" s="576"/>
      <c r="W1324" s="576"/>
      <c r="X1324" s="576"/>
      <c r="Y1324" s="576"/>
      <c r="Z1324" s="576"/>
    </row>
    <row r="1325" spans="1:26" ht="18.75">
      <c r="A1325" s="680"/>
      <c r="B1325" s="680"/>
      <c r="C1325" s="680"/>
      <c r="D1325" s="910"/>
      <c r="E1325" s="680"/>
      <c r="F1325" s="680"/>
      <c r="G1325" s="680"/>
      <c r="H1325" s="911"/>
      <c r="I1325" s="912"/>
      <c r="J1325" s="912"/>
      <c r="K1325" s="913"/>
      <c r="L1325" s="913"/>
      <c r="M1325" s="913"/>
      <c r="N1325" s="913"/>
      <c r="O1325" s="913"/>
      <c r="P1325" s="913"/>
      <c r="Q1325" s="576"/>
      <c r="R1325" s="576"/>
      <c r="S1325" s="576"/>
      <c r="T1325" s="576"/>
      <c r="U1325" s="576"/>
      <c r="V1325" s="576"/>
      <c r="W1325" s="576"/>
      <c r="X1325" s="576"/>
      <c r="Y1325" s="576"/>
      <c r="Z1325" s="576"/>
    </row>
    <row r="1326" spans="1:26" ht="18.75">
      <c r="A1326" s="680"/>
      <c r="B1326" s="680"/>
      <c r="C1326" s="680"/>
      <c r="D1326" s="910"/>
      <c r="E1326" s="680"/>
      <c r="F1326" s="680"/>
      <c r="G1326" s="680"/>
      <c r="H1326" s="911"/>
      <c r="I1326" s="912"/>
      <c r="J1326" s="912"/>
      <c r="K1326" s="913"/>
      <c r="L1326" s="913"/>
      <c r="M1326" s="913"/>
      <c r="N1326" s="913"/>
      <c r="O1326" s="913"/>
      <c r="P1326" s="913"/>
      <c r="Q1326" s="576"/>
      <c r="R1326" s="576"/>
      <c r="S1326" s="576"/>
      <c r="T1326" s="576"/>
      <c r="U1326" s="576"/>
      <c r="V1326" s="576"/>
      <c r="W1326" s="576"/>
      <c r="X1326" s="576"/>
      <c r="Y1326" s="576"/>
      <c r="Z1326" s="576"/>
    </row>
    <row r="1327" spans="1:26" ht="18.75">
      <c r="A1327" s="680"/>
      <c r="B1327" s="680"/>
      <c r="C1327" s="680"/>
      <c r="D1327" s="910"/>
      <c r="E1327" s="680"/>
      <c r="F1327" s="680"/>
      <c r="G1327" s="680"/>
      <c r="H1327" s="911"/>
      <c r="I1327" s="912"/>
      <c r="J1327" s="912"/>
      <c r="K1327" s="913"/>
      <c r="L1327" s="913"/>
      <c r="M1327" s="913"/>
      <c r="N1327" s="913"/>
      <c r="O1327" s="913"/>
      <c r="P1327" s="913"/>
      <c r="Q1327" s="576"/>
      <c r="R1327" s="576"/>
      <c r="S1327" s="576"/>
      <c r="T1327" s="576"/>
      <c r="U1327" s="576"/>
      <c r="V1327" s="576"/>
      <c r="W1327" s="576"/>
      <c r="X1327" s="576"/>
      <c r="Y1327" s="576"/>
      <c r="Z1327" s="576"/>
    </row>
    <row r="1328" spans="1:26" ht="18.75">
      <c r="A1328" s="680"/>
      <c r="B1328" s="680"/>
      <c r="C1328" s="680"/>
      <c r="D1328" s="910"/>
      <c r="E1328" s="680"/>
      <c r="F1328" s="680"/>
      <c r="G1328" s="680"/>
      <c r="H1328" s="911"/>
      <c r="I1328" s="912"/>
      <c r="J1328" s="912"/>
      <c r="K1328" s="913"/>
      <c r="L1328" s="913"/>
      <c r="M1328" s="913"/>
      <c r="N1328" s="913"/>
      <c r="O1328" s="913"/>
      <c r="P1328" s="913"/>
      <c r="Q1328" s="576"/>
      <c r="R1328" s="576"/>
      <c r="S1328" s="576"/>
      <c r="T1328" s="576"/>
      <c r="U1328" s="576"/>
      <c r="V1328" s="576"/>
      <c r="W1328" s="576"/>
      <c r="X1328" s="576"/>
      <c r="Y1328" s="576"/>
      <c r="Z1328" s="576"/>
    </row>
    <row r="1329" spans="1:26" ht="18.75">
      <c r="A1329" s="680"/>
      <c r="B1329" s="680"/>
      <c r="C1329" s="680"/>
      <c r="D1329" s="910"/>
      <c r="E1329" s="680"/>
      <c r="F1329" s="680"/>
      <c r="G1329" s="680"/>
      <c r="H1329" s="911"/>
      <c r="I1329" s="912"/>
      <c r="J1329" s="912"/>
      <c r="K1329" s="913"/>
      <c r="L1329" s="913"/>
      <c r="M1329" s="913"/>
      <c r="N1329" s="913"/>
      <c r="O1329" s="913"/>
      <c r="P1329" s="913"/>
      <c r="Q1329" s="576"/>
      <c r="R1329" s="576"/>
      <c r="S1329" s="576"/>
      <c r="T1329" s="576"/>
      <c r="U1329" s="576"/>
      <c r="V1329" s="576"/>
      <c r="W1329" s="576"/>
      <c r="X1329" s="576"/>
      <c r="Y1329" s="576"/>
      <c r="Z1329" s="576"/>
    </row>
    <row r="1330" spans="1:26" ht="18.75">
      <c r="A1330" s="680"/>
      <c r="B1330" s="680"/>
      <c r="C1330" s="680"/>
      <c r="D1330" s="910"/>
      <c r="E1330" s="680"/>
      <c r="F1330" s="680"/>
      <c r="G1330" s="680"/>
      <c r="H1330" s="911"/>
      <c r="I1330" s="912"/>
      <c r="J1330" s="912"/>
      <c r="K1330" s="913"/>
      <c r="L1330" s="913"/>
      <c r="M1330" s="913"/>
      <c r="N1330" s="913"/>
      <c r="O1330" s="913"/>
      <c r="P1330" s="913"/>
      <c r="Q1330" s="576"/>
      <c r="R1330" s="576"/>
      <c r="S1330" s="576"/>
      <c r="T1330" s="576"/>
      <c r="U1330" s="576"/>
      <c r="V1330" s="576"/>
      <c r="W1330" s="576"/>
      <c r="X1330" s="576"/>
      <c r="Y1330" s="576"/>
      <c r="Z1330" s="576"/>
    </row>
    <row r="1331" spans="1:26" ht="18.75">
      <c r="A1331" s="680"/>
      <c r="B1331" s="680"/>
      <c r="C1331" s="680"/>
      <c r="D1331" s="910"/>
      <c r="E1331" s="680"/>
      <c r="F1331" s="680"/>
      <c r="G1331" s="680"/>
      <c r="H1331" s="911"/>
      <c r="I1331" s="912"/>
      <c r="J1331" s="912"/>
      <c r="K1331" s="913"/>
      <c r="L1331" s="913"/>
      <c r="M1331" s="913"/>
      <c r="N1331" s="913"/>
      <c r="O1331" s="913"/>
      <c r="P1331" s="913"/>
      <c r="Q1331" s="576"/>
      <c r="R1331" s="576"/>
      <c r="S1331" s="576"/>
      <c r="T1331" s="576"/>
      <c r="U1331" s="576"/>
      <c r="V1331" s="576"/>
      <c r="W1331" s="576"/>
      <c r="X1331" s="576"/>
      <c r="Y1331" s="576"/>
      <c r="Z1331" s="576"/>
    </row>
    <row r="1332" spans="1:26" ht="18.75">
      <c r="A1332" s="680"/>
      <c r="B1332" s="680"/>
      <c r="C1332" s="680"/>
      <c r="D1332" s="910"/>
      <c r="E1332" s="680"/>
      <c r="F1332" s="680"/>
      <c r="G1332" s="680"/>
      <c r="H1332" s="911"/>
      <c r="I1332" s="912"/>
      <c r="J1332" s="912"/>
      <c r="K1332" s="913"/>
      <c r="L1332" s="913"/>
      <c r="M1332" s="913"/>
      <c r="N1332" s="913"/>
      <c r="O1332" s="913"/>
      <c r="P1332" s="913"/>
      <c r="Q1332" s="576"/>
      <c r="R1332" s="576"/>
      <c r="S1332" s="576"/>
      <c r="T1332" s="576"/>
      <c r="U1332" s="576"/>
      <c r="V1332" s="576"/>
      <c r="W1332" s="576"/>
      <c r="X1332" s="576"/>
      <c r="Y1332" s="576"/>
      <c r="Z1332" s="576"/>
    </row>
    <row r="1333" spans="1:26" ht="18.75">
      <c r="A1333" s="680"/>
      <c r="B1333" s="680"/>
      <c r="C1333" s="680"/>
      <c r="D1333" s="910"/>
      <c r="E1333" s="680"/>
      <c r="F1333" s="680"/>
      <c r="G1333" s="680"/>
      <c r="H1333" s="911"/>
      <c r="I1333" s="912"/>
      <c r="J1333" s="912"/>
      <c r="K1333" s="913"/>
      <c r="L1333" s="913"/>
      <c r="M1333" s="913"/>
      <c r="N1333" s="913"/>
      <c r="O1333" s="913"/>
      <c r="P1333" s="913"/>
      <c r="Q1333" s="576"/>
      <c r="R1333" s="576"/>
      <c r="S1333" s="576"/>
      <c r="T1333" s="576"/>
      <c r="U1333" s="576"/>
      <c r="V1333" s="576"/>
      <c r="W1333" s="576"/>
      <c r="X1333" s="576"/>
      <c r="Y1333" s="576"/>
      <c r="Z1333" s="576"/>
    </row>
    <row r="1334" spans="1:26" ht="18.75">
      <c r="A1334" s="680"/>
      <c r="B1334" s="680"/>
      <c r="C1334" s="680"/>
      <c r="D1334" s="910"/>
      <c r="E1334" s="680"/>
      <c r="F1334" s="680"/>
      <c r="G1334" s="680"/>
      <c r="H1334" s="911"/>
      <c r="I1334" s="912"/>
      <c r="J1334" s="912"/>
      <c r="K1334" s="913"/>
      <c r="L1334" s="913"/>
      <c r="M1334" s="913"/>
      <c r="N1334" s="913"/>
      <c r="O1334" s="913"/>
      <c r="P1334" s="913"/>
      <c r="Q1334" s="576"/>
      <c r="R1334" s="576"/>
      <c r="S1334" s="576"/>
      <c r="T1334" s="576"/>
      <c r="U1334" s="576"/>
      <c r="V1334" s="576"/>
      <c r="W1334" s="576"/>
      <c r="X1334" s="576"/>
      <c r="Y1334" s="576"/>
      <c r="Z1334" s="576"/>
    </row>
    <row r="1335" spans="1:26" ht="18.75">
      <c r="A1335" s="680"/>
      <c r="B1335" s="680"/>
      <c r="C1335" s="680"/>
      <c r="D1335" s="910"/>
      <c r="E1335" s="680"/>
      <c r="F1335" s="680"/>
      <c r="G1335" s="680"/>
      <c r="H1335" s="911"/>
      <c r="I1335" s="912"/>
      <c r="J1335" s="912"/>
      <c r="K1335" s="913"/>
      <c r="L1335" s="913"/>
      <c r="M1335" s="913"/>
      <c r="N1335" s="913"/>
      <c r="O1335" s="913"/>
      <c r="P1335" s="913"/>
      <c r="Q1335" s="576"/>
      <c r="R1335" s="576"/>
      <c r="S1335" s="576"/>
      <c r="T1335" s="576"/>
      <c r="U1335" s="576"/>
      <c r="V1335" s="576"/>
      <c r="W1335" s="576"/>
      <c r="X1335" s="576"/>
      <c r="Y1335" s="576"/>
      <c r="Z1335" s="576"/>
    </row>
    <row r="1336" spans="1:26" ht="18.75">
      <c r="A1336" s="680"/>
      <c r="B1336" s="680"/>
      <c r="C1336" s="680"/>
      <c r="D1336" s="910"/>
      <c r="E1336" s="680"/>
      <c r="F1336" s="680"/>
      <c r="G1336" s="680"/>
      <c r="H1336" s="911"/>
      <c r="I1336" s="912"/>
      <c r="J1336" s="912"/>
      <c r="K1336" s="913"/>
      <c r="L1336" s="913"/>
      <c r="M1336" s="913"/>
      <c r="N1336" s="913"/>
      <c r="O1336" s="913"/>
      <c r="P1336" s="913"/>
      <c r="Q1336" s="576"/>
      <c r="R1336" s="576"/>
      <c r="S1336" s="576"/>
      <c r="T1336" s="576"/>
      <c r="U1336" s="576"/>
      <c r="V1336" s="576"/>
      <c r="W1336" s="576"/>
      <c r="X1336" s="576"/>
      <c r="Y1336" s="576"/>
      <c r="Z1336" s="576"/>
    </row>
    <row r="1337" spans="1:26" ht="18.75">
      <c r="A1337" s="680"/>
      <c r="B1337" s="680"/>
      <c r="C1337" s="680"/>
      <c r="D1337" s="910"/>
      <c r="E1337" s="680"/>
      <c r="F1337" s="680"/>
      <c r="G1337" s="680"/>
      <c r="H1337" s="911"/>
      <c r="I1337" s="912"/>
      <c r="J1337" s="912"/>
      <c r="K1337" s="913"/>
      <c r="L1337" s="913"/>
      <c r="M1337" s="913"/>
      <c r="N1337" s="913"/>
      <c r="O1337" s="913"/>
      <c r="P1337" s="913"/>
      <c r="Q1337" s="576"/>
      <c r="R1337" s="576"/>
      <c r="S1337" s="576"/>
      <c r="T1337" s="576"/>
      <c r="U1337" s="576"/>
      <c r="V1337" s="576"/>
      <c r="W1337" s="576"/>
      <c r="X1337" s="576"/>
      <c r="Y1337" s="576"/>
      <c r="Z1337" s="576"/>
    </row>
    <row r="1338" spans="1:26" ht="18.75">
      <c r="A1338" s="680"/>
      <c r="B1338" s="680"/>
      <c r="C1338" s="680"/>
      <c r="D1338" s="910"/>
      <c r="E1338" s="680"/>
      <c r="F1338" s="680"/>
      <c r="G1338" s="680"/>
      <c r="H1338" s="911"/>
      <c r="I1338" s="912"/>
      <c r="J1338" s="912"/>
      <c r="K1338" s="913"/>
      <c r="L1338" s="913"/>
      <c r="M1338" s="913"/>
      <c r="N1338" s="913"/>
      <c r="O1338" s="913"/>
      <c r="P1338" s="913"/>
      <c r="Q1338" s="576"/>
      <c r="R1338" s="576"/>
      <c r="S1338" s="576"/>
      <c r="T1338" s="576"/>
      <c r="U1338" s="576"/>
      <c r="V1338" s="576"/>
      <c r="W1338" s="576"/>
      <c r="X1338" s="576"/>
      <c r="Y1338" s="576"/>
      <c r="Z1338" s="576"/>
    </row>
    <row r="1339" spans="1:26" ht="18.75">
      <c r="A1339" s="680"/>
      <c r="B1339" s="680"/>
      <c r="C1339" s="680"/>
      <c r="D1339" s="910"/>
      <c r="E1339" s="680"/>
      <c r="F1339" s="680"/>
      <c r="G1339" s="680"/>
      <c r="H1339" s="911"/>
      <c r="I1339" s="912"/>
      <c r="J1339" s="912"/>
      <c r="K1339" s="913"/>
      <c r="L1339" s="913"/>
      <c r="M1339" s="913"/>
      <c r="N1339" s="913"/>
      <c r="O1339" s="913"/>
      <c r="P1339" s="913"/>
      <c r="Q1339" s="576"/>
      <c r="R1339" s="576"/>
      <c r="S1339" s="576"/>
      <c r="T1339" s="576"/>
      <c r="U1339" s="576"/>
      <c r="V1339" s="576"/>
      <c r="W1339" s="576"/>
      <c r="X1339" s="576"/>
      <c r="Y1339" s="576"/>
      <c r="Z1339" s="576"/>
    </row>
    <row r="1340" spans="1:26" ht="18.75">
      <c r="A1340" s="680"/>
      <c r="B1340" s="680"/>
      <c r="C1340" s="680"/>
      <c r="D1340" s="910"/>
      <c r="E1340" s="680"/>
      <c r="F1340" s="680"/>
      <c r="G1340" s="680"/>
      <c r="H1340" s="911"/>
      <c r="I1340" s="912"/>
      <c r="J1340" s="912"/>
      <c r="K1340" s="913"/>
      <c r="L1340" s="913"/>
      <c r="M1340" s="913"/>
      <c r="N1340" s="913"/>
      <c r="O1340" s="913"/>
      <c r="P1340" s="913"/>
      <c r="Q1340" s="576"/>
      <c r="R1340" s="576"/>
      <c r="S1340" s="576"/>
      <c r="T1340" s="576"/>
      <c r="U1340" s="576"/>
      <c r="V1340" s="576"/>
      <c r="W1340" s="576"/>
      <c r="X1340" s="576"/>
      <c r="Y1340" s="576"/>
      <c r="Z1340" s="576"/>
    </row>
    <row r="1341" spans="1:26" ht="18.75">
      <c r="A1341" s="680"/>
      <c r="B1341" s="680"/>
      <c r="C1341" s="680"/>
      <c r="D1341" s="910"/>
      <c r="E1341" s="680"/>
      <c r="F1341" s="680"/>
      <c r="G1341" s="680"/>
      <c r="H1341" s="911"/>
      <c r="I1341" s="912"/>
      <c r="J1341" s="912"/>
      <c r="K1341" s="913"/>
      <c r="L1341" s="913"/>
      <c r="M1341" s="913"/>
      <c r="N1341" s="913"/>
      <c r="O1341" s="913"/>
      <c r="P1341" s="913"/>
      <c r="Q1341" s="576"/>
      <c r="R1341" s="576"/>
      <c r="S1341" s="576"/>
      <c r="T1341" s="576"/>
      <c r="U1341" s="576"/>
      <c r="V1341" s="576"/>
      <c r="W1341" s="576"/>
      <c r="X1341" s="576"/>
      <c r="Y1341" s="576"/>
      <c r="Z1341" s="576"/>
    </row>
    <row r="1342" spans="1:26" ht="18.75">
      <c r="A1342" s="680"/>
      <c r="B1342" s="680"/>
      <c r="C1342" s="680"/>
      <c r="D1342" s="910"/>
      <c r="E1342" s="680"/>
      <c r="F1342" s="680"/>
      <c r="G1342" s="680"/>
      <c r="H1342" s="911"/>
      <c r="I1342" s="912"/>
      <c r="J1342" s="912"/>
      <c r="K1342" s="913"/>
      <c r="L1342" s="913"/>
      <c r="M1342" s="913"/>
      <c r="N1342" s="913"/>
      <c r="O1342" s="913"/>
      <c r="P1342" s="913"/>
      <c r="Q1342" s="576"/>
      <c r="R1342" s="576"/>
      <c r="S1342" s="576"/>
      <c r="T1342" s="576"/>
      <c r="U1342" s="576"/>
      <c r="V1342" s="576"/>
      <c r="W1342" s="576"/>
      <c r="X1342" s="576"/>
      <c r="Y1342" s="576"/>
      <c r="Z1342" s="576"/>
    </row>
    <row r="1343" spans="1:26" ht="18.75">
      <c r="A1343" s="680"/>
      <c r="B1343" s="680"/>
      <c r="C1343" s="680"/>
      <c r="D1343" s="910"/>
      <c r="E1343" s="680"/>
      <c r="F1343" s="680"/>
      <c r="G1343" s="680"/>
      <c r="H1343" s="911"/>
      <c r="I1343" s="912"/>
      <c r="J1343" s="912"/>
      <c r="K1343" s="913"/>
      <c r="L1343" s="913"/>
      <c r="M1343" s="913"/>
      <c r="N1343" s="913"/>
      <c r="O1343" s="913"/>
      <c r="P1343" s="913"/>
      <c r="Q1343" s="576"/>
      <c r="R1343" s="576"/>
      <c r="S1343" s="576"/>
      <c r="T1343" s="576"/>
      <c r="U1343" s="576"/>
      <c r="V1343" s="576"/>
      <c r="W1343" s="576"/>
      <c r="X1343" s="576"/>
      <c r="Y1343" s="576"/>
      <c r="Z1343" s="576"/>
    </row>
    <row r="1344" spans="1:26" ht="18.75">
      <c r="A1344" s="680"/>
      <c r="B1344" s="680"/>
      <c r="C1344" s="680"/>
      <c r="D1344" s="910"/>
      <c r="E1344" s="680"/>
      <c r="F1344" s="680"/>
      <c r="G1344" s="680"/>
      <c r="H1344" s="911"/>
      <c r="I1344" s="912"/>
      <c r="J1344" s="912"/>
      <c r="K1344" s="913"/>
      <c r="L1344" s="913"/>
      <c r="M1344" s="913"/>
      <c r="N1344" s="913"/>
      <c r="O1344" s="913"/>
      <c r="P1344" s="913"/>
      <c r="Q1344" s="576"/>
      <c r="R1344" s="576"/>
      <c r="S1344" s="576"/>
      <c r="T1344" s="576"/>
      <c r="U1344" s="576"/>
      <c r="V1344" s="576"/>
      <c r="W1344" s="576"/>
      <c r="X1344" s="576"/>
      <c r="Y1344" s="576"/>
      <c r="Z1344" s="576"/>
    </row>
    <row r="1345" spans="1:26" ht="18.75">
      <c r="A1345" s="680"/>
      <c r="B1345" s="680"/>
      <c r="C1345" s="680"/>
      <c r="D1345" s="910"/>
      <c r="E1345" s="680"/>
      <c r="F1345" s="680"/>
      <c r="G1345" s="680"/>
      <c r="H1345" s="911"/>
      <c r="I1345" s="912"/>
      <c r="J1345" s="912"/>
      <c r="K1345" s="913"/>
      <c r="L1345" s="913"/>
      <c r="M1345" s="913"/>
      <c r="N1345" s="913"/>
      <c r="O1345" s="913"/>
      <c r="P1345" s="913"/>
      <c r="Q1345" s="576"/>
      <c r="R1345" s="576"/>
      <c r="S1345" s="576"/>
      <c r="T1345" s="576"/>
      <c r="U1345" s="576"/>
      <c r="V1345" s="576"/>
      <c r="W1345" s="576"/>
      <c r="X1345" s="576"/>
      <c r="Y1345" s="576"/>
      <c r="Z1345" s="576"/>
    </row>
    <row r="1346" spans="1:26" ht="18.75">
      <c r="A1346" s="680"/>
      <c r="B1346" s="680"/>
      <c r="C1346" s="680"/>
      <c r="D1346" s="910"/>
      <c r="E1346" s="680"/>
      <c r="F1346" s="680"/>
      <c r="G1346" s="680"/>
      <c r="H1346" s="911"/>
      <c r="I1346" s="912"/>
      <c r="J1346" s="912"/>
      <c r="K1346" s="913"/>
      <c r="L1346" s="913"/>
      <c r="M1346" s="913"/>
      <c r="N1346" s="913"/>
      <c r="O1346" s="913"/>
      <c r="P1346" s="913"/>
      <c r="Q1346" s="576"/>
      <c r="R1346" s="576"/>
      <c r="S1346" s="576"/>
      <c r="T1346" s="576"/>
      <c r="U1346" s="576"/>
      <c r="V1346" s="576"/>
      <c r="W1346" s="576"/>
      <c r="X1346" s="576"/>
      <c r="Y1346" s="576"/>
      <c r="Z1346" s="576"/>
    </row>
    <row r="1347" spans="1:26" ht="18.75">
      <c r="A1347" s="680"/>
      <c r="B1347" s="680"/>
      <c r="C1347" s="680"/>
      <c r="D1347" s="910"/>
      <c r="E1347" s="680"/>
      <c r="F1347" s="680"/>
      <c r="G1347" s="680"/>
      <c r="H1347" s="911"/>
      <c r="I1347" s="912"/>
      <c r="J1347" s="912"/>
      <c r="K1347" s="913"/>
      <c r="L1347" s="913"/>
      <c r="M1347" s="913"/>
      <c r="N1347" s="913"/>
      <c r="O1347" s="913"/>
      <c r="P1347" s="913"/>
      <c r="Q1347" s="576"/>
      <c r="R1347" s="576"/>
      <c r="S1347" s="576"/>
      <c r="T1347" s="576"/>
      <c r="U1347" s="576"/>
      <c r="V1347" s="576"/>
      <c r="W1347" s="576"/>
      <c r="X1347" s="576"/>
      <c r="Y1347" s="576"/>
      <c r="Z1347" s="576"/>
    </row>
    <row r="1348" spans="1:26" ht="18.75">
      <c r="A1348" s="680"/>
      <c r="B1348" s="680"/>
      <c r="C1348" s="680"/>
      <c r="D1348" s="910"/>
      <c r="E1348" s="680"/>
      <c r="F1348" s="680"/>
      <c r="G1348" s="680"/>
      <c r="H1348" s="911"/>
      <c r="I1348" s="912"/>
      <c r="J1348" s="912"/>
      <c r="K1348" s="913"/>
      <c r="L1348" s="913"/>
      <c r="M1348" s="913"/>
      <c r="N1348" s="913"/>
      <c r="O1348" s="913"/>
      <c r="P1348" s="913"/>
      <c r="Q1348" s="576"/>
      <c r="R1348" s="576"/>
      <c r="S1348" s="576"/>
      <c r="T1348" s="576"/>
      <c r="U1348" s="576"/>
      <c r="V1348" s="576"/>
      <c r="W1348" s="576"/>
      <c r="X1348" s="576"/>
      <c r="Y1348" s="576"/>
      <c r="Z1348" s="576"/>
    </row>
    <row r="1349" spans="1:26" ht="18.75">
      <c r="A1349" s="680"/>
      <c r="B1349" s="680"/>
      <c r="C1349" s="680"/>
      <c r="D1349" s="910"/>
      <c r="E1349" s="680"/>
      <c r="F1349" s="680"/>
      <c r="G1349" s="680"/>
      <c r="H1349" s="911"/>
      <c r="I1349" s="912"/>
      <c r="J1349" s="912"/>
      <c r="K1349" s="913"/>
      <c r="L1349" s="913"/>
      <c r="M1349" s="913"/>
      <c r="N1349" s="913"/>
      <c r="O1349" s="913"/>
      <c r="P1349" s="913"/>
      <c r="Q1349" s="576"/>
      <c r="R1349" s="576"/>
      <c r="S1349" s="576"/>
      <c r="T1349" s="576"/>
      <c r="U1349" s="576"/>
      <c r="V1349" s="576"/>
      <c r="W1349" s="576"/>
      <c r="X1349" s="576"/>
      <c r="Y1349" s="576"/>
      <c r="Z1349" s="576"/>
    </row>
    <row r="1350" spans="1:26" ht="18.75">
      <c r="A1350" s="680"/>
      <c r="B1350" s="680"/>
      <c r="C1350" s="680"/>
      <c r="D1350" s="910"/>
      <c r="E1350" s="680"/>
      <c r="F1350" s="680"/>
      <c r="G1350" s="680"/>
      <c r="H1350" s="911"/>
      <c r="I1350" s="912"/>
      <c r="J1350" s="912"/>
      <c r="K1350" s="913"/>
      <c r="L1350" s="913"/>
      <c r="M1350" s="913"/>
      <c r="N1350" s="913"/>
      <c r="O1350" s="913"/>
      <c r="P1350" s="913"/>
      <c r="Q1350" s="576"/>
      <c r="R1350" s="576"/>
      <c r="S1350" s="576"/>
      <c r="T1350" s="576"/>
      <c r="U1350" s="576"/>
      <c r="V1350" s="576"/>
      <c r="W1350" s="576"/>
      <c r="X1350" s="576"/>
      <c r="Y1350" s="576"/>
      <c r="Z1350" s="576"/>
    </row>
    <row r="1351" spans="1:26" ht="18.75">
      <c r="A1351" s="680"/>
      <c r="B1351" s="680"/>
      <c r="C1351" s="680"/>
      <c r="D1351" s="910"/>
      <c r="E1351" s="680"/>
      <c r="F1351" s="680"/>
      <c r="G1351" s="680"/>
      <c r="H1351" s="911"/>
      <c r="I1351" s="912"/>
      <c r="J1351" s="912"/>
      <c r="K1351" s="913"/>
      <c r="L1351" s="913"/>
      <c r="M1351" s="913"/>
      <c r="N1351" s="913"/>
      <c r="O1351" s="913"/>
      <c r="P1351" s="913"/>
      <c r="Q1351" s="576"/>
      <c r="R1351" s="576"/>
      <c r="S1351" s="576"/>
      <c r="T1351" s="576"/>
      <c r="U1351" s="576"/>
      <c r="V1351" s="576"/>
      <c r="W1351" s="576"/>
      <c r="X1351" s="576"/>
      <c r="Y1351" s="576"/>
      <c r="Z1351" s="576"/>
    </row>
    <row r="1352" spans="1:26" ht="18.75">
      <c r="A1352" s="680"/>
      <c r="B1352" s="680"/>
      <c r="C1352" s="680"/>
      <c r="D1352" s="910"/>
      <c r="E1352" s="680"/>
      <c r="F1352" s="680"/>
      <c r="G1352" s="680"/>
      <c r="H1352" s="911"/>
      <c r="I1352" s="912"/>
      <c r="J1352" s="912"/>
      <c r="K1352" s="913"/>
      <c r="L1352" s="913"/>
      <c r="M1352" s="913"/>
      <c r="N1352" s="913"/>
      <c r="O1352" s="913"/>
      <c r="P1352" s="913"/>
      <c r="Q1352" s="576"/>
      <c r="R1352" s="576"/>
      <c r="S1352" s="576"/>
      <c r="T1352" s="576"/>
      <c r="U1352" s="576"/>
      <c r="V1352" s="576"/>
      <c r="W1352" s="576"/>
      <c r="X1352" s="576"/>
      <c r="Y1352" s="576"/>
      <c r="Z1352" s="576"/>
    </row>
    <row r="1353" spans="1:26" ht="18.75">
      <c r="A1353" s="680"/>
      <c r="B1353" s="680"/>
      <c r="C1353" s="680"/>
      <c r="D1353" s="910"/>
      <c r="E1353" s="680"/>
      <c r="F1353" s="680"/>
      <c r="G1353" s="680"/>
      <c r="H1353" s="911"/>
      <c r="I1353" s="912"/>
      <c r="J1353" s="912"/>
      <c r="K1353" s="913"/>
      <c r="L1353" s="913"/>
      <c r="M1353" s="913"/>
      <c r="N1353" s="913"/>
      <c r="O1353" s="913"/>
      <c r="P1353" s="913"/>
      <c r="Q1353" s="576"/>
      <c r="R1353" s="576"/>
      <c r="S1353" s="576"/>
      <c r="T1353" s="576"/>
      <c r="U1353" s="576"/>
      <c r="V1353" s="576"/>
      <c r="W1353" s="576"/>
      <c r="X1353" s="576"/>
      <c r="Y1353" s="576"/>
      <c r="Z1353" s="576"/>
    </row>
    <row r="1354" spans="1:26" ht="18.75">
      <c r="A1354" s="680"/>
      <c r="B1354" s="680"/>
      <c r="C1354" s="680"/>
      <c r="D1354" s="910"/>
      <c r="E1354" s="680"/>
      <c r="F1354" s="680"/>
      <c r="G1354" s="680"/>
      <c r="H1354" s="911"/>
      <c r="I1354" s="912"/>
      <c r="J1354" s="912"/>
      <c r="K1354" s="913"/>
      <c r="L1354" s="913"/>
      <c r="M1354" s="913"/>
      <c r="N1354" s="913"/>
      <c r="O1354" s="913"/>
      <c r="P1354" s="913"/>
      <c r="Q1354" s="576"/>
      <c r="R1354" s="576"/>
      <c r="S1354" s="576"/>
      <c r="T1354" s="576"/>
      <c r="U1354" s="576"/>
      <c r="V1354" s="576"/>
      <c r="W1354" s="576"/>
      <c r="X1354" s="576"/>
      <c r="Y1354" s="576"/>
      <c r="Z1354" s="576"/>
    </row>
    <row r="1355" spans="1:26" ht="18.75">
      <c r="A1355" s="680"/>
      <c r="B1355" s="680"/>
      <c r="C1355" s="680"/>
      <c r="D1355" s="910"/>
      <c r="E1355" s="680"/>
      <c r="F1355" s="680"/>
      <c r="G1355" s="680"/>
      <c r="H1355" s="911"/>
      <c r="I1355" s="912"/>
      <c r="J1355" s="912"/>
      <c r="K1355" s="913"/>
      <c r="L1355" s="913"/>
      <c r="M1355" s="913"/>
      <c r="N1355" s="913"/>
      <c r="O1355" s="913"/>
      <c r="P1355" s="913"/>
      <c r="Q1355" s="576"/>
      <c r="R1355" s="576"/>
      <c r="S1355" s="576"/>
      <c r="T1355" s="576"/>
      <c r="U1355" s="576"/>
      <c r="V1355" s="576"/>
      <c r="W1355" s="576"/>
      <c r="X1355" s="576"/>
      <c r="Y1355" s="576"/>
      <c r="Z1355" s="576"/>
    </row>
    <row r="1356" spans="1:26" ht="18.75">
      <c r="A1356" s="680"/>
      <c r="B1356" s="680"/>
      <c r="C1356" s="680"/>
      <c r="D1356" s="910"/>
      <c r="E1356" s="680"/>
      <c r="F1356" s="680"/>
      <c r="G1356" s="680"/>
      <c r="H1356" s="911"/>
      <c r="I1356" s="912"/>
      <c r="J1356" s="912"/>
      <c r="K1356" s="913"/>
      <c r="L1356" s="913"/>
      <c r="M1356" s="913"/>
      <c r="N1356" s="913"/>
      <c r="O1356" s="913"/>
      <c r="P1356" s="913"/>
      <c r="Q1356" s="576"/>
      <c r="R1356" s="576"/>
      <c r="S1356" s="576"/>
      <c r="T1356" s="576"/>
      <c r="U1356" s="576"/>
      <c r="V1356" s="576"/>
      <c r="W1356" s="576"/>
      <c r="X1356" s="576"/>
      <c r="Y1356" s="576"/>
      <c r="Z1356" s="576"/>
    </row>
    <row r="1357" spans="1:26" ht="18.75">
      <c r="A1357" s="680"/>
      <c r="B1357" s="680"/>
      <c r="C1357" s="680"/>
      <c r="D1357" s="910"/>
      <c r="E1357" s="680"/>
      <c r="F1357" s="680"/>
      <c r="G1357" s="680"/>
      <c r="H1357" s="911"/>
      <c r="I1357" s="912"/>
      <c r="J1357" s="912"/>
      <c r="K1357" s="913"/>
      <c r="L1357" s="913"/>
      <c r="M1357" s="913"/>
      <c r="N1357" s="913"/>
      <c r="O1357" s="913"/>
      <c r="P1357" s="913"/>
      <c r="Q1357" s="576"/>
      <c r="R1357" s="576"/>
      <c r="S1357" s="576"/>
      <c r="T1357" s="576"/>
      <c r="U1357" s="576"/>
      <c r="V1357" s="576"/>
      <c r="W1357" s="576"/>
      <c r="X1357" s="576"/>
      <c r="Y1357" s="576"/>
      <c r="Z1357" s="576"/>
    </row>
    <row r="1358" spans="1:26" ht="18.75">
      <c r="A1358" s="680"/>
      <c r="B1358" s="680"/>
      <c r="C1358" s="680"/>
      <c r="D1358" s="910"/>
      <c r="E1358" s="680"/>
      <c r="F1358" s="680"/>
      <c r="G1358" s="680"/>
      <c r="H1358" s="911"/>
      <c r="I1358" s="912"/>
      <c r="J1358" s="912"/>
      <c r="K1358" s="913"/>
      <c r="L1358" s="913"/>
      <c r="M1358" s="913"/>
      <c r="N1358" s="913"/>
      <c r="O1358" s="913"/>
      <c r="P1358" s="913"/>
      <c r="Q1358" s="576"/>
      <c r="R1358" s="576"/>
      <c r="S1358" s="576"/>
      <c r="T1358" s="576"/>
      <c r="U1358" s="576"/>
      <c r="V1358" s="576"/>
      <c r="W1358" s="576"/>
      <c r="X1358" s="576"/>
      <c r="Y1358" s="576"/>
      <c r="Z1358" s="576"/>
    </row>
    <row r="1359" spans="1:26" ht="18.75">
      <c r="A1359" s="680"/>
      <c r="B1359" s="680"/>
      <c r="C1359" s="680"/>
      <c r="D1359" s="910"/>
      <c r="E1359" s="680"/>
      <c r="F1359" s="680"/>
      <c r="G1359" s="680"/>
      <c r="H1359" s="911"/>
      <c r="I1359" s="912"/>
      <c r="J1359" s="912"/>
      <c r="K1359" s="913"/>
      <c r="L1359" s="913"/>
      <c r="M1359" s="913"/>
      <c r="N1359" s="913"/>
      <c r="O1359" s="913"/>
      <c r="P1359" s="913"/>
      <c r="Q1359" s="576"/>
      <c r="R1359" s="576"/>
      <c r="S1359" s="576"/>
      <c r="T1359" s="576"/>
      <c r="U1359" s="576"/>
      <c r="V1359" s="576"/>
      <c r="W1359" s="576"/>
      <c r="X1359" s="576"/>
      <c r="Y1359" s="576"/>
      <c r="Z1359" s="576"/>
    </row>
    <row r="1360" spans="1:26" ht="18.75">
      <c r="A1360" s="680"/>
      <c r="B1360" s="680"/>
      <c r="C1360" s="680"/>
      <c r="D1360" s="910"/>
      <c r="E1360" s="680"/>
      <c r="F1360" s="680"/>
      <c r="G1360" s="680"/>
      <c r="H1360" s="911"/>
      <c r="I1360" s="912"/>
      <c r="J1360" s="912"/>
      <c r="K1360" s="913"/>
      <c r="L1360" s="913"/>
      <c r="M1360" s="913"/>
      <c r="N1360" s="913"/>
      <c r="O1360" s="913"/>
      <c r="P1360" s="913"/>
      <c r="Q1360" s="576"/>
      <c r="R1360" s="576"/>
      <c r="S1360" s="576"/>
      <c r="T1360" s="576"/>
      <c r="U1360" s="576"/>
      <c r="V1360" s="576"/>
      <c r="W1360" s="576"/>
      <c r="X1360" s="576"/>
      <c r="Y1360" s="576"/>
      <c r="Z1360" s="576"/>
    </row>
    <row r="1361" spans="1:26" ht="18.75">
      <c r="A1361" s="680"/>
      <c r="B1361" s="680"/>
      <c r="C1361" s="680"/>
      <c r="D1361" s="910"/>
      <c r="E1361" s="680"/>
      <c r="F1361" s="680"/>
      <c r="G1361" s="680"/>
      <c r="H1361" s="911"/>
      <c r="I1361" s="912"/>
      <c r="J1361" s="912"/>
      <c r="K1361" s="913"/>
      <c r="L1361" s="913"/>
      <c r="M1361" s="913"/>
      <c r="N1361" s="913"/>
      <c r="O1361" s="913"/>
      <c r="P1361" s="913"/>
      <c r="Q1361" s="576"/>
      <c r="R1361" s="576"/>
      <c r="S1361" s="576"/>
      <c r="T1361" s="576"/>
      <c r="U1361" s="576"/>
      <c r="V1361" s="576"/>
      <c r="W1361" s="576"/>
      <c r="X1361" s="576"/>
      <c r="Y1361" s="576"/>
      <c r="Z1361" s="576"/>
    </row>
    <row r="1362" spans="1:26" ht="18.75">
      <c r="A1362" s="680"/>
      <c r="B1362" s="680"/>
      <c r="C1362" s="680"/>
      <c r="D1362" s="910"/>
      <c r="E1362" s="680"/>
      <c r="F1362" s="680"/>
      <c r="G1362" s="680"/>
      <c r="H1362" s="911"/>
      <c r="I1362" s="912"/>
      <c r="J1362" s="912"/>
      <c r="K1362" s="913"/>
      <c r="L1362" s="913"/>
      <c r="M1362" s="913"/>
      <c r="N1362" s="913"/>
      <c r="O1362" s="913"/>
      <c r="P1362" s="913"/>
      <c r="Q1362" s="576"/>
      <c r="R1362" s="576"/>
      <c r="S1362" s="576"/>
      <c r="T1362" s="576"/>
      <c r="U1362" s="576"/>
      <c r="V1362" s="576"/>
      <c r="W1362" s="576"/>
      <c r="X1362" s="576"/>
      <c r="Y1362" s="576"/>
      <c r="Z1362" s="576"/>
    </row>
    <row r="1363" spans="1:26" ht="18.75">
      <c r="A1363" s="680"/>
      <c r="B1363" s="680"/>
      <c r="C1363" s="680"/>
      <c r="D1363" s="910"/>
      <c r="E1363" s="680"/>
      <c r="F1363" s="680"/>
      <c r="G1363" s="680"/>
      <c r="H1363" s="911"/>
      <c r="I1363" s="912"/>
      <c r="J1363" s="912"/>
      <c r="K1363" s="913"/>
      <c r="L1363" s="913"/>
      <c r="M1363" s="913"/>
      <c r="N1363" s="913"/>
      <c r="O1363" s="913"/>
      <c r="P1363" s="913"/>
      <c r="Q1363" s="576"/>
      <c r="R1363" s="576"/>
      <c r="S1363" s="576"/>
      <c r="T1363" s="576"/>
      <c r="U1363" s="576"/>
      <c r="V1363" s="576"/>
      <c r="W1363" s="576"/>
      <c r="X1363" s="576"/>
      <c r="Y1363" s="576"/>
      <c r="Z1363" s="576"/>
    </row>
    <row r="1364" spans="1:26" ht="18.75">
      <c r="A1364" s="680"/>
      <c r="B1364" s="680"/>
      <c r="C1364" s="680"/>
      <c r="D1364" s="910"/>
      <c r="E1364" s="680"/>
      <c r="F1364" s="680"/>
      <c r="G1364" s="680"/>
      <c r="H1364" s="911"/>
      <c r="I1364" s="912"/>
      <c r="J1364" s="912"/>
      <c r="K1364" s="913"/>
      <c r="L1364" s="913"/>
      <c r="M1364" s="913"/>
      <c r="N1364" s="913"/>
      <c r="O1364" s="913"/>
      <c r="P1364" s="913"/>
      <c r="Q1364" s="576"/>
      <c r="R1364" s="576"/>
      <c r="S1364" s="576"/>
      <c r="T1364" s="576"/>
      <c r="U1364" s="576"/>
      <c r="V1364" s="576"/>
      <c r="W1364" s="576"/>
      <c r="X1364" s="576"/>
      <c r="Y1364" s="576"/>
      <c r="Z1364" s="576"/>
    </row>
    <row r="1365" spans="1:26" ht="18.75">
      <c r="A1365" s="680"/>
      <c r="B1365" s="680"/>
      <c r="C1365" s="680"/>
      <c r="D1365" s="910"/>
      <c r="E1365" s="680"/>
      <c r="F1365" s="680"/>
      <c r="G1365" s="680"/>
      <c r="H1365" s="911"/>
      <c r="I1365" s="912"/>
      <c r="J1365" s="912"/>
      <c r="K1365" s="913"/>
      <c r="L1365" s="913"/>
      <c r="M1365" s="913"/>
      <c r="N1365" s="913"/>
      <c r="O1365" s="913"/>
      <c r="P1365" s="913"/>
      <c r="Q1365" s="576"/>
      <c r="R1365" s="576"/>
      <c r="S1365" s="576"/>
      <c r="T1365" s="576"/>
      <c r="U1365" s="576"/>
      <c r="V1365" s="576"/>
      <c r="W1365" s="576"/>
      <c r="X1365" s="576"/>
      <c r="Y1365" s="576"/>
      <c r="Z1365" s="576"/>
    </row>
    <row r="1366" spans="1:26" ht="18.75">
      <c r="A1366" s="680"/>
      <c r="B1366" s="680"/>
      <c r="C1366" s="680"/>
      <c r="D1366" s="910"/>
      <c r="E1366" s="680"/>
      <c r="F1366" s="680"/>
      <c r="G1366" s="680"/>
      <c r="H1366" s="911"/>
      <c r="I1366" s="912"/>
      <c r="J1366" s="912"/>
      <c r="K1366" s="913"/>
      <c r="L1366" s="913"/>
      <c r="M1366" s="913"/>
      <c r="N1366" s="913"/>
      <c r="O1366" s="913"/>
      <c r="P1366" s="913"/>
      <c r="Q1366" s="576"/>
      <c r="R1366" s="576"/>
      <c r="S1366" s="576"/>
      <c r="T1366" s="576"/>
      <c r="U1366" s="576"/>
      <c r="V1366" s="576"/>
      <c r="W1366" s="576"/>
      <c r="X1366" s="576"/>
      <c r="Y1366" s="576"/>
      <c r="Z1366" s="576"/>
    </row>
    <row r="1367" spans="1:26" ht="18.75">
      <c r="A1367" s="680"/>
      <c r="B1367" s="680"/>
      <c r="C1367" s="680"/>
      <c r="D1367" s="910"/>
      <c r="E1367" s="680"/>
      <c r="F1367" s="680"/>
      <c r="G1367" s="680"/>
      <c r="H1367" s="911"/>
      <c r="I1367" s="912"/>
      <c r="J1367" s="912"/>
      <c r="K1367" s="913"/>
      <c r="L1367" s="913"/>
      <c r="M1367" s="913"/>
      <c r="N1367" s="913"/>
      <c r="O1367" s="913"/>
      <c r="P1367" s="913"/>
      <c r="Q1367" s="576"/>
      <c r="R1367" s="576"/>
      <c r="S1367" s="576"/>
      <c r="T1367" s="576"/>
      <c r="U1367" s="576"/>
      <c r="V1367" s="576"/>
      <c r="W1367" s="576"/>
      <c r="X1367" s="576"/>
      <c r="Y1367" s="576"/>
      <c r="Z1367" s="576"/>
    </row>
    <row r="1368" spans="1:26" ht="18.75">
      <c r="A1368" s="680"/>
      <c r="B1368" s="680"/>
      <c r="C1368" s="680"/>
      <c r="D1368" s="910"/>
      <c r="E1368" s="680"/>
      <c r="F1368" s="680"/>
      <c r="G1368" s="680"/>
      <c r="H1368" s="911"/>
      <c r="I1368" s="912"/>
      <c r="J1368" s="912"/>
      <c r="K1368" s="913"/>
      <c r="L1368" s="913"/>
      <c r="M1368" s="913"/>
      <c r="N1368" s="913"/>
      <c r="O1368" s="913"/>
      <c r="P1368" s="913"/>
      <c r="Q1368" s="576"/>
      <c r="R1368" s="576"/>
      <c r="S1368" s="576"/>
      <c r="T1368" s="576"/>
      <c r="U1368" s="576"/>
      <c r="V1368" s="576"/>
      <c r="W1368" s="576"/>
      <c r="X1368" s="576"/>
      <c r="Y1368" s="576"/>
      <c r="Z1368" s="576"/>
    </row>
    <row r="1369" spans="1:26" ht="18.75">
      <c r="A1369" s="680"/>
      <c r="B1369" s="680"/>
      <c r="C1369" s="680"/>
      <c r="D1369" s="910"/>
      <c r="E1369" s="680"/>
      <c r="F1369" s="680"/>
      <c r="G1369" s="680"/>
      <c r="H1369" s="911"/>
      <c r="I1369" s="912"/>
      <c r="J1369" s="912"/>
      <c r="K1369" s="913"/>
      <c r="L1369" s="913"/>
      <c r="M1369" s="913"/>
      <c r="N1369" s="913"/>
      <c r="O1369" s="913"/>
      <c r="P1369" s="913"/>
      <c r="Q1369" s="576"/>
      <c r="R1369" s="576"/>
      <c r="S1369" s="576"/>
      <c r="T1369" s="576"/>
      <c r="U1369" s="576"/>
      <c r="V1369" s="576"/>
      <c r="W1369" s="576"/>
      <c r="X1369" s="576"/>
      <c r="Y1369" s="576"/>
      <c r="Z1369" s="576"/>
    </row>
    <row r="1370" spans="1:26" ht="18.75">
      <c r="A1370" s="680"/>
      <c r="B1370" s="680"/>
      <c r="C1370" s="680"/>
      <c r="D1370" s="910"/>
      <c r="E1370" s="680"/>
      <c r="F1370" s="680"/>
      <c r="G1370" s="680"/>
      <c r="H1370" s="911"/>
      <c r="I1370" s="912"/>
      <c r="J1370" s="912"/>
      <c r="K1370" s="913"/>
      <c r="L1370" s="913"/>
      <c r="M1370" s="913"/>
      <c r="N1370" s="913"/>
      <c r="O1370" s="913"/>
      <c r="P1370" s="913"/>
      <c r="Q1370" s="576"/>
      <c r="R1370" s="576"/>
      <c r="S1370" s="576"/>
      <c r="T1370" s="576"/>
      <c r="U1370" s="576"/>
      <c r="V1370" s="576"/>
      <c r="W1370" s="576"/>
      <c r="X1370" s="576"/>
      <c r="Y1370" s="576"/>
      <c r="Z1370" s="576"/>
    </row>
    <row r="1371" spans="1:26" ht="18.75">
      <c r="A1371" s="680"/>
      <c r="B1371" s="680"/>
      <c r="C1371" s="680"/>
      <c r="D1371" s="910"/>
      <c r="E1371" s="680"/>
      <c r="F1371" s="680"/>
      <c r="G1371" s="680"/>
      <c r="H1371" s="911"/>
      <c r="I1371" s="912"/>
      <c r="J1371" s="912"/>
      <c r="K1371" s="913"/>
      <c r="L1371" s="913"/>
      <c r="M1371" s="913"/>
      <c r="N1371" s="913"/>
      <c r="O1371" s="913"/>
      <c r="P1371" s="913"/>
      <c r="Q1371" s="576"/>
      <c r="R1371" s="576"/>
      <c r="S1371" s="576"/>
      <c r="T1371" s="576"/>
      <c r="U1371" s="576"/>
      <c r="V1371" s="576"/>
      <c r="W1371" s="576"/>
      <c r="X1371" s="576"/>
      <c r="Y1371" s="576"/>
      <c r="Z1371" s="576"/>
    </row>
    <row r="1372" spans="1:26" ht="18.75">
      <c r="A1372" s="680"/>
      <c r="B1372" s="680"/>
      <c r="C1372" s="680"/>
      <c r="D1372" s="910"/>
      <c r="E1372" s="680"/>
      <c r="F1372" s="680"/>
      <c r="G1372" s="680"/>
      <c r="H1372" s="911"/>
      <c r="I1372" s="912"/>
      <c r="J1372" s="912"/>
      <c r="K1372" s="913"/>
      <c r="L1372" s="913"/>
      <c r="M1372" s="913"/>
      <c r="N1372" s="913"/>
      <c r="O1372" s="913"/>
      <c r="P1372" s="913"/>
      <c r="Q1372" s="576"/>
      <c r="R1372" s="576"/>
      <c r="S1372" s="576"/>
      <c r="T1372" s="576"/>
      <c r="U1372" s="576"/>
      <c r="V1372" s="576"/>
      <c r="W1372" s="576"/>
      <c r="X1372" s="576"/>
      <c r="Y1372" s="576"/>
      <c r="Z1372" s="576"/>
    </row>
    <row r="1373" spans="1:26" ht="18.75">
      <c r="A1373" s="680"/>
      <c r="B1373" s="680"/>
      <c r="C1373" s="680"/>
      <c r="D1373" s="910"/>
      <c r="E1373" s="680"/>
      <c r="F1373" s="680"/>
      <c r="G1373" s="680"/>
      <c r="H1373" s="911"/>
      <c r="I1373" s="912"/>
      <c r="J1373" s="912"/>
      <c r="K1373" s="913"/>
      <c r="L1373" s="913"/>
      <c r="M1373" s="913"/>
      <c r="N1373" s="913"/>
      <c r="O1373" s="913"/>
      <c r="P1373" s="913"/>
      <c r="Q1373" s="576"/>
      <c r="R1373" s="576"/>
      <c r="S1373" s="576"/>
      <c r="T1373" s="576"/>
      <c r="U1373" s="576"/>
      <c r="V1373" s="576"/>
      <c r="W1373" s="576"/>
      <c r="X1373" s="576"/>
      <c r="Y1373" s="576"/>
      <c r="Z1373" s="576"/>
    </row>
    <row r="1374" spans="1:26" ht="18.75">
      <c r="A1374" s="680"/>
      <c r="B1374" s="680"/>
      <c r="C1374" s="680"/>
      <c r="D1374" s="910"/>
      <c r="E1374" s="680"/>
      <c r="F1374" s="680"/>
      <c r="G1374" s="680"/>
      <c r="H1374" s="911"/>
      <c r="I1374" s="912"/>
      <c r="J1374" s="912"/>
      <c r="K1374" s="913"/>
      <c r="L1374" s="913"/>
      <c r="M1374" s="913"/>
      <c r="N1374" s="913"/>
      <c r="O1374" s="913"/>
      <c r="P1374" s="913"/>
      <c r="Q1374" s="576"/>
      <c r="R1374" s="576"/>
      <c r="S1374" s="576"/>
      <c r="T1374" s="576"/>
      <c r="U1374" s="576"/>
      <c r="V1374" s="576"/>
      <c r="W1374" s="576"/>
      <c r="X1374" s="576"/>
      <c r="Y1374" s="576"/>
      <c r="Z1374" s="576"/>
    </row>
    <row r="1375" spans="1:26" ht="18.75">
      <c r="A1375" s="680"/>
      <c r="B1375" s="680"/>
      <c r="C1375" s="680"/>
      <c r="D1375" s="910"/>
      <c r="E1375" s="680"/>
      <c r="F1375" s="680"/>
      <c r="G1375" s="680"/>
      <c r="H1375" s="911"/>
      <c r="I1375" s="912"/>
      <c r="J1375" s="912"/>
      <c r="K1375" s="913"/>
      <c r="L1375" s="913"/>
      <c r="M1375" s="913"/>
      <c r="N1375" s="913"/>
      <c r="O1375" s="913"/>
      <c r="P1375" s="913"/>
      <c r="Q1375" s="576"/>
      <c r="R1375" s="576"/>
      <c r="S1375" s="576"/>
      <c r="T1375" s="576"/>
      <c r="U1375" s="576"/>
      <c r="V1375" s="576"/>
      <c r="W1375" s="576"/>
      <c r="X1375" s="576"/>
      <c r="Y1375" s="576"/>
      <c r="Z1375" s="576"/>
    </row>
    <row r="1376" spans="1:26" ht="18.75">
      <c r="A1376" s="680"/>
      <c r="B1376" s="680"/>
      <c r="C1376" s="680"/>
      <c r="D1376" s="910"/>
      <c r="E1376" s="680"/>
      <c r="F1376" s="680"/>
      <c r="G1376" s="680"/>
      <c r="H1376" s="911"/>
      <c r="I1376" s="912"/>
      <c r="J1376" s="912"/>
      <c r="K1376" s="913"/>
      <c r="L1376" s="913"/>
      <c r="M1376" s="913"/>
      <c r="N1376" s="913"/>
      <c r="O1376" s="913"/>
      <c r="P1376" s="913"/>
      <c r="Q1376" s="576"/>
      <c r="R1376" s="576"/>
      <c r="S1376" s="576"/>
      <c r="T1376" s="576"/>
      <c r="U1376" s="576"/>
      <c r="V1376" s="576"/>
      <c r="W1376" s="576"/>
      <c r="X1376" s="576"/>
      <c r="Y1376" s="576"/>
      <c r="Z1376" s="576"/>
    </row>
    <row r="1377" spans="1:26" ht="18.75">
      <c r="A1377" s="680"/>
      <c r="B1377" s="680"/>
      <c r="C1377" s="680"/>
      <c r="D1377" s="910"/>
      <c r="E1377" s="680"/>
      <c r="F1377" s="680"/>
      <c r="G1377" s="680"/>
      <c r="H1377" s="911"/>
      <c r="I1377" s="912"/>
      <c r="J1377" s="912"/>
      <c r="K1377" s="913"/>
      <c r="L1377" s="913"/>
      <c r="M1377" s="913"/>
      <c r="N1377" s="913"/>
      <c r="O1377" s="913"/>
      <c r="P1377" s="913"/>
      <c r="Q1377" s="576"/>
      <c r="R1377" s="576"/>
      <c r="S1377" s="576"/>
      <c r="T1377" s="576"/>
      <c r="U1377" s="576"/>
      <c r="V1377" s="576"/>
      <c r="W1377" s="576"/>
      <c r="X1377" s="576"/>
      <c r="Y1377" s="576"/>
      <c r="Z1377" s="576"/>
    </row>
    <row r="1378" spans="1:26" ht="18.75">
      <c r="A1378" s="680"/>
      <c r="B1378" s="680"/>
      <c r="C1378" s="680"/>
      <c r="D1378" s="910"/>
      <c r="E1378" s="680"/>
      <c r="F1378" s="680"/>
      <c r="G1378" s="680"/>
      <c r="H1378" s="911"/>
      <c r="I1378" s="912"/>
      <c r="J1378" s="912"/>
      <c r="K1378" s="913"/>
      <c r="L1378" s="913"/>
      <c r="M1378" s="913"/>
      <c r="N1378" s="913"/>
      <c r="O1378" s="913"/>
      <c r="P1378" s="913"/>
      <c r="Q1378" s="576"/>
      <c r="R1378" s="576"/>
      <c r="S1378" s="576"/>
      <c r="T1378" s="576"/>
      <c r="U1378" s="576"/>
      <c r="V1378" s="576"/>
      <c r="W1378" s="576"/>
      <c r="X1378" s="576"/>
      <c r="Y1378" s="576"/>
      <c r="Z1378" s="576"/>
    </row>
    <row r="1379" spans="1:26" ht="18.75">
      <c r="A1379" s="680"/>
      <c r="B1379" s="680"/>
      <c r="C1379" s="680"/>
      <c r="D1379" s="910"/>
      <c r="E1379" s="680"/>
      <c r="F1379" s="680"/>
      <c r="G1379" s="680"/>
      <c r="H1379" s="911"/>
      <c r="I1379" s="912"/>
      <c r="J1379" s="912"/>
      <c r="K1379" s="913"/>
      <c r="L1379" s="913"/>
      <c r="M1379" s="913"/>
      <c r="N1379" s="913"/>
      <c r="O1379" s="913"/>
      <c r="P1379" s="913"/>
      <c r="Q1379" s="576"/>
      <c r="R1379" s="576"/>
      <c r="S1379" s="576"/>
      <c r="T1379" s="576"/>
      <c r="U1379" s="576"/>
      <c r="V1379" s="576"/>
      <c r="W1379" s="576"/>
      <c r="X1379" s="576"/>
      <c r="Y1379" s="576"/>
      <c r="Z1379" s="576"/>
    </row>
    <row r="1380" spans="1:26" ht="18.75">
      <c r="A1380" s="680"/>
      <c r="B1380" s="680"/>
      <c r="C1380" s="680"/>
      <c r="D1380" s="910"/>
      <c r="E1380" s="680"/>
      <c r="F1380" s="680"/>
      <c r="G1380" s="680"/>
      <c r="H1380" s="911"/>
      <c r="I1380" s="912"/>
      <c r="J1380" s="912"/>
      <c r="K1380" s="913"/>
      <c r="L1380" s="913"/>
      <c r="M1380" s="913"/>
      <c r="N1380" s="913"/>
      <c r="O1380" s="913"/>
      <c r="P1380" s="913"/>
      <c r="Q1380" s="576"/>
      <c r="R1380" s="576"/>
      <c r="S1380" s="576"/>
      <c r="T1380" s="576"/>
      <c r="U1380" s="576"/>
      <c r="V1380" s="576"/>
      <c r="W1380" s="576"/>
      <c r="X1380" s="576"/>
      <c r="Y1380" s="576"/>
      <c r="Z1380" s="576"/>
    </row>
    <row r="1381" spans="1:26" ht="18.75">
      <c r="A1381" s="680"/>
      <c r="B1381" s="680"/>
      <c r="C1381" s="680"/>
      <c r="D1381" s="910"/>
      <c r="E1381" s="680"/>
      <c r="F1381" s="680"/>
      <c r="G1381" s="680"/>
      <c r="H1381" s="911"/>
      <c r="I1381" s="912"/>
      <c r="J1381" s="912"/>
      <c r="K1381" s="913"/>
      <c r="L1381" s="913"/>
      <c r="M1381" s="913"/>
      <c r="N1381" s="913"/>
      <c r="O1381" s="913"/>
      <c r="P1381" s="913"/>
      <c r="Q1381" s="576"/>
      <c r="R1381" s="576"/>
      <c r="S1381" s="576"/>
      <c r="T1381" s="576"/>
      <c r="U1381" s="576"/>
      <c r="V1381" s="576"/>
      <c r="W1381" s="576"/>
      <c r="X1381" s="576"/>
      <c r="Y1381" s="576"/>
      <c r="Z1381" s="576"/>
    </row>
    <row r="1382" spans="1:26" ht="18.75">
      <c r="A1382" s="680"/>
      <c r="B1382" s="680"/>
      <c r="C1382" s="680"/>
      <c r="D1382" s="910"/>
      <c r="E1382" s="680"/>
      <c r="F1382" s="680"/>
      <c r="G1382" s="680"/>
      <c r="H1382" s="911"/>
      <c r="I1382" s="912"/>
      <c r="J1382" s="912"/>
      <c r="K1382" s="913"/>
      <c r="L1382" s="913"/>
      <c r="M1382" s="913"/>
      <c r="N1382" s="913"/>
      <c r="O1382" s="913"/>
      <c r="P1382" s="913"/>
      <c r="Q1382" s="576"/>
      <c r="R1382" s="576"/>
      <c r="S1382" s="576"/>
      <c r="T1382" s="576"/>
      <c r="U1382" s="576"/>
      <c r="V1382" s="576"/>
      <c r="W1382" s="576"/>
      <c r="X1382" s="576"/>
      <c r="Y1382" s="576"/>
      <c r="Z1382" s="576"/>
    </row>
    <row r="1383" spans="1:26" ht="18.75">
      <c r="A1383" s="680"/>
      <c r="B1383" s="680"/>
      <c r="C1383" s="680"/>
      <c r="D1383" s="910"/>
      <c r="E1383" s="680"/>
      <c r="F1383" s="680"/>
      <c r="G1383" s="680"/>
      <c r="H1383" s="911"/>
      <c r="I1383" s="912"/>
      <c r="J1383" s="912"/>
      <c r="K1383" s="913"/>
      <c r="L1383" s="913"/>
      <c r="M1383" s="913"/>
      <c r="N1383" s="913"/>
      <c r="O1383" s="913"/>
      <c r="P1383" s="913"/>
      <c r="Q1383" s="576"/>
      <c r="R1383" s="576"/>
      <c r="S1383" s="576"/>
      <c r="T1383" s="576"/>
      <c r="U1383" s="576"/>
      <c r="V1383" s="576"/>
      <c r="W1383" s="576"/>
      <c r="X1383" s="576"/>
      <c r="Y1383" s="576"/>
      <c r="Z1383" s="576"/>
    </row>
    <row r="1384" spans="1:26" ht="18.75">
      <c r="A1384" s="680"/>
      <c r="B1384" s="680"/>
      <c r="C1384" s="680"/>
      <c r="D1384" s="910"/>
      <c r="E1384" s="680"/>
      <c r="F1384" s="680"/>
      <c r="G1384" s="680"/>
      <c r="H1384" s="911"/>
      <c r="I1384" s="912"/>
      <c r="J1384" s="912"/>
      <c r="K1384" s="913"/>
      <c r="L1384" s="913"/>
      <c r="M1384" s="913"/>
      <c r="N1384" s="913"/>
      <c r="O1384" s="913"/>
      <c r="P1384" s="913"/>
      <c r="Q1384" s="576"/>
      <c r="R1384" s="576"/>
      <c r="S1384" s="576"/>
      <c r="T1384" s="576"/>
      <c r="U1384" s="576"/>
      <c r="V1384" s="576"/>
      <c r="W1384" s="576"/>
      <c r="X1384" s="576"/>
      <c r="Y1384" s="576"/>
      <c r="Z1384" s="576"/>
    </row>
    <row r="1385" spans="1:26" ht="18.75">
      <c r="A1385" s="680"/>
      <c r="B1385" s="680"/>
      <c r="C1385" s="680"/>
      <c r="D1385" s="910"/>
      <c r="E1385" s="680"/>
      <c r="F1385" s="680"/>
      <c r="G1385" s="680"/>
      <c r="H1385" s="911"/>
      <c r="I1385" s="912"/>
      <c r="J1385" s="912"/>
      <c r="K1385" s="913"/>
      <c r="L1385" s="913"/>
      <c r="M1385" s="913"/>
      <c r="N1385" s="913"/>
      <c r="O1385" s="913"/>
      <c r="P1385" s="913"/>
      <c r="Q1385" s="576"/>
      <c r="R1385" s="576"/>
      <c r="S1385" s="576"/>
      <c r="T1385" s="576"/>
      <c r="U1385" s="576"/>
      <c r="V1385" s="576"/>
      <c r="W1385" s="576"/>
      <c r="X1385" s="576"/>
      <c r="Y1385" s="576"/>
      <c r="Z1385" s="576"/>
    </row>
    <row r="1386" spans="1:26" ht="18.75">
      <c r="A1386" s="680"/>
      <c r="B1386" s="680"/>
      <c r="C1386" s="680"/>
      <c r="D1386" s="910"/>
      <c r="E1386" s="680"/>
      <c r="F1386" s="680"/>
      <c r="G1386" s="680"/>
      <c r="H1386" s="911"/>
      <c r="I1386" s="912"/>
      <c r="J1386" s="912"/>
      <c r="K1386" s="913"/>
      <c r="L1386" s="913"/>
      <c r="M1386" s="913"/>
      <c r="N1386" s="913"/>
      <c r="O1386" s="913"/>
      <c r="P1386" s="913"/>
      <c r="Q1386" s="576"/>
      <c r="R1386" s="576"/>
      <c r="S1386" s="576"/>
      <c r="T1386" s="576"/>
      <c r="U1386" s="576"/>
      <c r="V1386" s="576"/>
      <c r="W1386" s="576"/>
      <c r="X1386" s="576"/>
      <c r="Y1386" s="576"/>
      <c r="Z1386" s="576"/>
    </row>
    <row r="1387" spans="1:26" ht="18.75">
      <c r="A1387" s="680"/>
      <c r="B1387" s="680"/>
      <c r="C1387" s="680"/>
      <c r="D1387" s="910"/>
      <c r="E1387" s="680"/>
      <c r="F1387" s="680"/>
      <c r="G1387" s="680"/>
      <c r="H1387" s="911"/>
      <c r="I1387" s="912"/>
      <c r="J1387" s="912"/>
      <c r="K1387" s="913"/>
      <c r="L1387" s="913"/>
      <c r="M1387" s="913"/>
      <c r="N1387" s="913"/>
      <c r="O1387" s="913"/>
      <c r="P1387" s="913"/>
      <c r="Q1387" s="576"/>
      <c r="R1387" s="576"/>
      <c r="S1387" s="576"/>
      <c r="T1387" s="576"/>
      <c r="U1387" s="576"/>
      <c r="V1387" s="576"/>
      <c r="W1387" s="576"/>
      <c r="X1387" s="576"/>
      <c r="Y1387" s="576"/>
      <c r="Z1387" s="576"/>
    </row>
    <row r="1388" spans="1:26" ht="18.75">
      <c r="A1388" s="680"/>
      <c r="B1388" s="680"/>
      <c r="C1388" s="680"/>
      <c r="D1388" s="910"/>
      <c r="E1388" s="680"/>
      <c r="F1388" s="680"/>
      <c r="G1388" s="680"/>
      <c r="H1388" s="911"/>
      <c r="I1388" s="912"/>
      <c r="J1388" s="912"/>
      <c r="K1388" s="913"/>
      <c r="L1388" s="913"/>
      <c r="M1388" s="913"/>
      <c r="N1388" s="913"/>
      <c r="O1388" s="913"/>
      <c r="P1388" s="913"/>
      <c r="Q1388" s="576"/>
      <c r="R1388" s="576"/>
      <c r="S1388" s="576"/>
      <c r="T1388" s="576"/>
      <c r="U1388" s="576"/>
      <c r="V1388" s="576"/>
      <c r="W1388" s="576"/>
      <c r="X1388" s="576"/>
      <c r="Y1388" s="576"/>
      <c r="Z1388" s="576"/>
    </row>
    <row r="1389" spans="1:26" ht="18.75">
      <c r="A1389" s="680"/>
      <c r="B1389" s="680"/>
      <c r="C1389" s="680"/>
      <c r="D1389" s="910"/>
      <c r="E1389" s="680"/>
      <c r="F1389" s="680"/>
      <c r="G1389" s="680"/>
      <c r="H1389" s="911"/>
      <c r="I1389" s="912"/>
      <c r="J1389" s="912"/>
      <c r="K1389" s="913"/>
      <c r="L1389" s="913"/>
      <c r="M1389" s="913"/>
      <c r="N1389" s="913"/>
      <c r="O1389" s="913"/>
      <c r="P1389" s="913"/>
      <c r="Q1389" s="576"/>
      <c r="R1389" s="576"/>
      <c r="S1389" s="576"/>
      <c r="T1389" s="576"/>
      <c r="U1389" s="576"/>
      <c r="V1389" s="576"/>
      <c r="W1389" s="576"/>
      <c r="X1389" s="576"/>
      <c r="Y1389" s="576"/>
      <c r="Z1389" s="576"/>
    </row>
    <row r="1390" spans="1:26" ht="18.75">
      <c r="A1390" s="680"/>
      <c r="B1390" s="680"/>
      <c r="C1390" s="680"/>
      <c r="D1390" s="910"/>
      <c r="E1390" s="680"/>
      <c r="F1390" s="680"/>
      <c r="G1390" s="680"/>
      <c r="H1390" s="911"/>
      <c r="I1390" s="912"/>
      <c r="J1390" s="912"/>
      <c r="K1390" s="913"/>
      <c r="L1390" s="913"/>
      <c r="M1390" s="913"/>
      <c r="N1390" s="913"/>
      <c r="O1390" s="913"/>
      <c r="P1390" s="913"/>
      <c r="Q1390" s="576"/>
      <c r="R1390" s="576"/>
      <c r="S1390" s="576"/>
      <c r="T1390" s="576"/>
      <c r="U1390" s="576"/>
      <c r="V1390" s="576"/>
      <c r="W1390" s="576"/>
      <c r="X1390" s="576"/>
      <c r="Y1390" s="576"/>
      <c r="Z1390" s="576"/>
    </row>
    <row r="1391" spans="1:26" ht="18.75">
      <c r="A1391" s="680"/>
      <c r="B1391" s="680"/>
      <c r="C1391" s="680"/>
      <c r="D1391" s="910"/>
      <c r="E1391" s="680"/>
      <c r="F1391" s="680"/>
      <c r="G1391" s="680"/>
      <c r="H1391" s="911"/>
      <c r="I1391" s="912"/>
      <c r="J1391" s="912"/>
      <c r="K1391" s="913"/>
      <c r="L1391" s="913"/>
      <c r="M1391" s="913"/>
      <c r="N1391" s="913"/>
      <c r="O1391" s="913"/>
      <c r="P1391" s="913"/>
      <c r="Q1391" s="576"/>
      <c r="R1391" s="576"/>
      <c r="S1391" s="576"/>
      <c r="T1391" s="576"/>
      <c r="U1391" s="576"/>
      <c r="V1391" s="576"/>
      <c r="W1391" s="576"/>
      <c r="X1391" s="576"/>
      <c r="Y1391" s="576"/>
      <c r="Z1391" s="576"/>
    </row>
    <row r="1392" spans="1:26" ht="18.75">
      <c r="A1392" s="680"/>
      <c r="B1392" s="680"/>
      <c r="C1392" s="680"/>
      <c r="D1392" s="910"/>
      <c r="E1392" s="680"/>
      <c r="F1392" s="680"/>
      <c r="G1392" s="680"/>
      <c r="H1392" s="911"/>
      <c r="I1392" s="912"/>
      <c r="J1392" s="912"/>
      <c r="K1392" s="913"/>
      <c r="L1392" s="913"/>
      <c r="M1392" s="913"/>
      <c r="N1392" s="913"/>
      <c r="O1392" s="913"/>
      <c r="P1392" s="913"/>
      <c r="Q1392" s="576"/>
      <c r="R1392" s="576"/>
      <c r="S1392" s="576"/>
      <c r="T1392" s="576"/>
      <c r="U1392" s="576"/>
      <c r="V1392" s="576"/>
      <c r="W1392" s="576"/>
      <c r="X1392" s="576"/>
      <c r="Y1392" s="576"/>
      <c r="Z1392" s="576"/>
    </row>
    <row r="1393" spans="1:26" ht="18.75">
      <c r="A1393" s="680"/>
      <c r="B1393" s="680"/>
      <c r="C1393" s="680"/>
      <c r="D1393" s="910"/>
      <c r="E1393" s="680"/>
      <c r="F1393" s="680"/>
      <c r="G1393" s="680"/>
      <c r="H1393" s="911"/>
      <c r="I1393" s="912"/>
      <c r="J1393" s="912"/>
      <c r="K1393" s="913"/>
      <c r="L1393" s="913"/>
      <c r="M1393" s="913"/>
      <c r="N1393" s="913"/>
      <c r="O1393" s="913"/>
      <c r="P1393" s="913"/>
      <c r="Q1393" s="576"/>
      <c r="R1393" s="576"/>
      <c r="S1393" s="576"/>
      <c r="T1393" s="576"/>
      <c r="U1393" s="576"/>
      <c r="V1393" s="576"/>
      <c r="W1393" s="576"/>
      <c r="X1393" s="576"/>
      <c r="Y1393" s="576"/>
      <c r="Z1393" s="576"/>
    </row>
    <row r="1394" spans="1:26" ht="18.75">
      <c r="A1394" s="680"/>
      <c r="B1394" s="680"/>
      <c r="C1394" s="680"/>
      <c r="D1394" s="910"/>
      <c r="E1394" s="680"/>
      <c r="F1394" s="680"/>
      <c r="G1394" s="680"/>
      <c r="H1394" s="911"/>
      <c r="I1394" s="912"/>
      <c r="J1394" s="912"/>
      <c r="K1394" s="913"/>
      <c r="L1394" s="913"/>
      <c r="M1394" s="913"/>
      <c r="N1394" s="913"/>
      <c r="O1394" s="913"/>
      <c r="P1394" s="913"/>
      <c r="Q1394" s="576"/>
      <c r="R1394" s="576"/>
      <c r="S1394" s="576"/>
      <c r="T1394" s="576"/>
      <c r="U1394" s="576"/>
      <c r="V1394" s="576"/>
      <c r="W1394" s="576"/>
      <c r="X1394" s="576"/>
      <c r="Y1394" s="576"/>
      <c r="Z1394" s="576"/>
    </row>
    <row r="1395" spans="1:26" ht="18.75">
      <c r="A1395" s="680"/>
      <c r="B1395" s="680"/>
      <c r="C1395" s="680"/>
      <c r="D1395" s="910"/>
      <c r="E1395" s="680"/>
      <c r="F1395" s="680"/>
      <c r="G1395" s="680"/>
      <c r="H1395" s="911"/>
      <c r="I1395" s="912"/>
      <c r="J1395" s="912"/>
      <c r="K1395" s="913"/>
      <c r="L1395" s="913"/>
      <c r="M1395" s="913"/>
      <c r="N1395" s="913"/>
      <c r="O1395" s="913"/>
      <c r="P1395" s="913"/>
      <c r="Q1395" s="576"/>
      <c r="R1395" s="576"/>
      <c r="S1395" s="576"/>
      <c r="T1395" s="576"/>
      <c r="U1395" s="576"/>
      <c r="V1395" s="576"/>
      <c r="W1395" s="576"/>
      <c r="X1395" s="576"/>
      <c r="Y1395" s="576"/>
      <c r="Z1395" s="576"/>
    </row>
    <row r="1396" spans="1:26" ht="18.75">
      <c r="A1396" s="680"/>
      <c r="B1396" s="680"/>
      <c r="C1396" s="680"/>
      <c r="D1396" s="910"/>
      <c r="E1396" s="680"/>
      <c r="F1396" s="680"/>
      <c r="G1396" s="680"/>
      <c r="H1396" s="911"/>
      <c r="I1396" s="912"/>
      <c r="J1396" s="912"/>
      <c r="K1396" s="913"/>
      <c r="L1396" s="913"/>
      <c r="M1396" s="913"/>
      <c r="N1396" s="913"/>
      <c r="O1396" s="913"/>
      <c r="P1396" s="913"/>
      <c r="Q1396" s="576"/>
      <c r="R1396" s="576"/>
      <c r="S1396" s="576"/>
      <c r="T1396" s="576"/>
      <c r="U1396" s="576"/>
      <c r="V1396" s="576"/>
      <c r="W1396" s="576"/>
      <c r="X1396" s="576"/>
      <c r="Y1396" s="576"/>
      <c r="Z1396" s="576"/>
    </row>
    <row r="1397" spans="1:26" ht="18.75">
      <c r="A1397" s="680"/>
      <c r="B1397" s="680"/>
      <c r="C1397" s="680"/>
      <c r="D1397" s="910"/>
      <c r="E1397" s="680"/>
      <c r="F1397" s="680"/>
      <c r="G1397" s="680"/>
      <c r="H1397" s="911"/>
      <c r="I1397" s="912"/>
      <c r="J1397" s="912"/>
      <c r="K1397" s="913"/>
      <c r="L1397" s="913"/>
      <c r="M1397" s="913"/>
      <c r="N1397" s="913"/>
      <c r="O1397" s="913"/>
      <c r="P1397" s="913"/>
      <c r="Q1397" s="576"/>
      <c r="R1397" s="576"/>
      <c r="S1397" s="576"/>
      <c r="T1397" s="576"/>
      <c r="U1397" s="576"/>
      <c r="V1397" s="576"/>
      <c r="W1397" s="576"/>
      <c r="X1397" s="576"/>
      <c r="Y1397" s="576"/>
      <c r="Z1397" s="576"/>
    </row>
    <row r="1398" spans="1:26" ht="18.75">
      <c r="A1398" s="680"/>
      <c r="B1398" s="680"/>
      <c r="C1398" s="680"/>
      <c r="D1398" s="910"/>
      <c r="E1398" s="680"/>
      <c r="F1398" s="680"/>
      <c r="G1398" s="680"/>
      <c r="H1398" s="911"/>
      <c r="I1398" s="912"/>
      <c r="J1398" s="912"/>
      <c r="K1398" s="913"/>
      <c r="L1398" s="913"/>
      <c r="M1398" s="913"/>
      <c r="N1398" s="913"/>
      <c r="O1398" s="913"/>
      <c r="P1398" s="913"/>
      <c r="Q1398" s="576"/>
      <c r="R1398" s="576"/>
      <c r="S1398" s="576"/>
      <c r="T1398" s="576"/>
      <c r="U1398" s="576"/>
      <c r="V1398" s="576"/>
      <c r="W1398" s="576"/>
      <c r="X1398" s="576"/>
      <c r="Y1398" s="576"/>
      <c r="Z1398" s="576"/>
    </row>
    <row r="1399" spans="1:26" ht="18.75">
      <c r="A1399" s="680"/>
      <c r="B1399" s="680"/>
      <c r="C1399" s="680"/>
      <c r="D1399" s="910"/>
      <c r="E1399" s="680"/>
      <c r="F1399" s="680"/>
      <c r="G1399" s="680"/>
      <c r="H1399" s="911"/>
      <c r="I1399" s="912"/>
      <c r="J1399" s="912"/>
      <c r="K1399" s="913"/>
      <c r="L1399" s="913"/>
      <c r="M1399" s="913"/>
      <c r="N1399" s="913"/>
      <c r="O1399" s="913"/>
      <c r="P1399" s="913"/>
      <c r="Q1399" s="576"/>
      <c r="R1399" s="576"/>
      <c r="S1399" s="576"/>
      <c r="T1399" s="576"/>
      <c r="U1399" s="576"/>
      <c r="V1399" s="576"/>
      <c r="W1399" s="576"/>
      <c r="X1399" s="576"/>
      <c r="Y1399" s="576"/>
      <c r="Z1399" s="576"/>
    </row>
    <row r="1400" spans="1:26" ht="18.75">
      <c r="A1400" s="680"/>
      <c r="B1400" s="680"/>
      <c r="C1400" s="680"/>
      <c r="D1400" s="910"/>
      <c r="E1400" s="680"/>
      <c r="F1400" s="680"/>
      <c r="G1400" s="680"/>
      <c r="H1400" s="911"/>
      <c r="I1400" s="912"/>
      <c r="J1400" s="912"/>
      <c r="K1400" s="913"/>
      <c r="L1400" s="913"/>
      <c r="M1400" s="913"/>
      <c r="N1400" s="913"/>
      <c r="O1400" s="913"/>
      <c r="P1400" s="913"/>
      <c r="Q1400" s="576"/>
      <c r="R1400" s="576"/>
      <c r="S1400" s="576"/>
      <c r="T1400" s="576"/>
      <c r="U1400" s="576"/>
      <c r="V1400" s="576"/>
      <c r="W1400" s="576"/>
      <c r="X1400" s="576"/>
      <c r="Y1400" s="576"/>
      <c r="Z1400" s="576"/>
    </row>
    <row r="1401" spans="1:26" ht="18.75">
      <c r="A1401" s="680"/>
      <c r="B1401" s="680"/>
      <c r="C1401" s="680"/>
      <c r="D1401" s="910"/>
      <c r="E1401" s="680"/>
      <c r="F1401" s="680"/>
      <c r="G1401" s="680"/>
      <c r="H1401" s="911"/>
      <c r="I1401" s="912"/>
      <c r="J1401" s="912"/>
      <c r="K1401" s="913"/>
      <c r="L1401" s="913"/>
      <c r="M1401" s="913"/>
      <c r="N1401" s="913"/>
      <c r="O1401" s="913"/>
      <c r="P1401" s="913"/>
      <c r="Q1401" s="576"/>
      <c r="R1401" s="576"/>
      <c r="S1401" s="576"/>
      <c r="T1401" s="576"/>
      <c r="U1401" s="576"/>
      <c r="V1401" s="576"/>
      <c r="W1401" s="576"/>
      <c r="X1401" s="576"/>
      <c r="Y1401" s="576"/>
      <c r="Z1401" s="576"/>
    </row>
    <row r="1402" spans="1:26" ht="18.75">
      <c r="A1402" s="680"/>
      <c r="B1402" s="680"/>
      <c r="C1402" s="680"/>
      <c r="D1402" s="910"/>
      <c r="E1402" s="680"/>
      <c r="F1402" s="680"/>
      <c r="G1402" s="680"/>
      <c r="H1402" s="911"/>
      <c r="I1402" s="912"/>
      <c r="J1402" s="912"/>
      <c r="K1402" s="913"/>
      <c r="L1402" s="913"/>
      <c r="M1402" s="913"/>
      <c r="N1402" s="913"/>
      <c r="O1402" s="913"/>
      <c r="P1402" s="913"/>
      <c r="Q1402" s="576"/>
      <c r="R1402" s="576"/>
      <c r="S1402" s="576"/>
      <c r="T1402" s="576"/>
      <c r="U1402" s="576"/>
      <c r="V1402" s="576"/>
      <c r="W1402" s="576"/>
      <c r="X1402" s="576"/>
      <c r="Y1402" s="576"/>
      <c r="Z1402" s="576"/>
    </row>
    <row r="1403" spans="1:26" ht="18.75">
      <c r="A1403" s="680"/>
      <c r="B1403" s="680"/>
      <c r="C1403" s="680"/>
      <c r="D1403" s="910"/>
      <c r="E1403" s="680"/>
      <c r="F1403" s="680"/>
      <c r="G1403" s="680"/>
      <c r="H1403" s="911"/>
      <c r="I1403" s="912"/>
      <c r="J1403" s="912"/>
      <c r="K1403" s="913"/>
      <c r="L1403" s="913"/>
      <c r="M1403" s="913"/>
      <c r="N1403" s="913"/>
      <c r="O1403" s="913"/>
      <c r="P1403" s="913"/>
      <c r="Q1403" s="576"/>
      <c r="R1403" s="576"/>
      <c r="S1403" s="576"/>
      <c r="T1403" s="576"/>
      <c r="U1403" s="576"/>
      <c r="V1403" s="576"/>
      <c r="W1403" s="576"/>
      <c r="X1403" s="576"/>
      <c r="Y1403" s="576"/>
      <c r="Z1403" s="576"/>
    </row>
    <row r="1404" spans="1:26" ht="18.75">
      <c r="A1404" s="680"/>
      <c r="B1404" s="680"/>
      <c r="C1404" s="680"/>
      <c r="D1404" s="910"/>
      <c r="E1404" s="680"/>
      <c r="F1404" s="680"/>
      <c r="G1404" s="680"/>
      <c r="H1404" s="911"/>
      <c r="I1404" s="912"/>
      <c r="J1404" s="912"/>
      <c r="K1404" s="913"/>
      <c r="L1404" s="913"/>
      <c r="M1404" s="913"/>
      <c r="N1404" s="913"/>
      <c r="O1404" s="913"/>
      <c r="P1404" s="913"/>
      <c r="Q1404" s="576"/>
      <c r="R1404" s="576"/>
      <c r="S1404" s="576"/>
      <c r="T1404" s="576"/>
      <c r="U1404" s="576"/>
      <c r="V1404" s="576"/>
      <c r="W1404" s="576"/>
      <c r="X1404" s="576"/>
      <c r="Y1404" s="576"/>
      <c r="Z1404" s="576"/>
    </row>
    <row r="1405" spans="1:26" ht="18.75">
      <c r="A1405" s="680"/>
      <c r="B1405" s="680"/>
      <c r="C1405" s="680"/>
      <c r="D1405" s="910"/>
      <c r="E1405" s="680"/>
      <c r="F1405" s="680"/>
      <c r="G1405" s="680"/>
      <c r="H1405" s="911"/>
      <c r="I1405" s="912"/>
      <c r="J1405" s="912"/>
      <c r="K1405" s="913"/>
      <c r="L1405" s="913"/>
      <c r="M1405" s="913"/>
      <c r="N1405" s="913"/>
      <c r="O1405" s="913"/>
      <c r="P1405" s="913"/>
      <c r="Q1405" s="576"/>
      <c r="R1405" s="576"/>
      <c r="S1405" s="576"/>
      <c r="T1405" s="576"/>
      <c r="U1405" s="576"/>
      <c r="V1405" s="576"/>
      <c r="W1405" s="576"/>
      <c r="X1405" s="576"/>
      <c r="Y1405" s="576"/>
      <c r="Z1405" s="576"/>
    </row>
    <row r="1406" spans="1:26" ht="18.75">
      <c r="A1406" s="680"/>
      <c r="B1406" s="680"/>
      <c r="C1406" s="680"/>
      <c r="D1406" s="910"/>
      <c r="E1406" s="680"/>
      <c r="F1406" s="680"/>
      <c r="G1406" s="680"/>
      <c r="H1406" s="911"/>
      <c r="I1406" s="912"/>
      <c r="J1406" s="912"/>
      <c r="K1406" s="913"/>
      <c r="L1406" s="913"/>
      <c r="M1406" s="913"/>
      <c r="N1406" s="913"/>
      <c r="O1406" s="913"/>
      <c r="P1406" s="913"/>
      <c r="Q1406" s="576"/>
      <c r="R1406" s="576"/>
      <c r="S1406" s="576"/>
      <c r="T1406" s="576"/>
      <c r="U1406" s="576"/>
      <c r="V1406" s="576"/>
      <c r="W1406" s="576"/>
      <c r="X1406" s="576"/>
      <c r="Y1406" s="576"/>
      <c r="Z1406" s="576"/>
    </row>
    <row r="1407" spans="1:26" ht="18.75">
      <c r="A1407" s="680"/>
      <c r="B1407" s="680"/>
      <c r="C1407" s="680"/>
      <c r="D1407" s="910"/>
      <c r="E1407" s="680"/>
      <c r="F1407" s="680"/>
      <c r="G1407" s="680"/>
      <c r="H1407" s="911"/>
      <c r="I1407" s="912"/>
      <c r="J1407" s="912"/>
      <c r="K1407" s="913"/>
      <c r="L1407" s="913"/>
      <c r="M1407" s="913"/>
      <c r="N1407" s="913"/>
      <c r="O1407" s="913"/>
      <c r="P1407" s="913"/>
      <c r="Q1407" s="576"/>
      <c r="R1407" s="576"/>
      <c r="S1407" s="576"/>
      <c r="T1407" s="576"/>
      <c r="U1407" s="576"/>
      <c r="V1407" s="576"/>
      <c r="W1407" s="576"/>
      <c r="X1407" s="576"/>
      <c r="Y1407" s="576"/>
      <c r="Z1407" s="576"/>
    </row>
    <row r="1408" spans="1:26" ht="18.75">
      <c r="A1408" s="680"/>
      <c r="B1408" s="680"/>
      <c r="C1408" s="680"/>
      <c r="D1408" s="910"/>
      <c r="E1408" s="680"/>
      <c r="F1408" s="680"/>
      <c r="G1408" s="680"/>
      <c r="H1408" s="911"/>
      <c r="I1408" s="912"/>
      <c r="J1408" s="912"/>
      <c r="K1408" s="913"/>
      <c r="L1408" s="913"/>
      <c r="M1408" s="913"/>
      <c r="N1408" s="913"/>
      <c r="O1408" s="913"/>
      <c r="P1408" s="913"/>
      <c r="Q1408" s="576"/>
      <c r="R1408" s="576"/>
      <c r="S1408" s="576"/>
      <c r="T1408" s="576"/>
      <c r="U1408" s="576"/>
      <c r="V1408" s="576"/>
      <c r="W1408" s="576"/>
      <c r="X1408" s="576"/>
      <c r="Y1408" s="576"/>
      <c r="Z1408" s="576"/>
    </row>
    <row r="1409" spans="1:26" ht="18.75">
      <c r="A1409" s="680"/>
      <c r="B1409" s="680"/>
      <c r="C1409" s="680"/>
      <c r="D1409" s="910"/>
      <c r="E1409" s="680"/>
      <c r="F1409" s="680"/>
      <c r="G1409" s="680"/>
      <c r="H1409" s="911"/>
      <c r="I1409" s="912"/>
      <c r="J1409" s="912"/>
      <c r="K1409" s="913"/>
      <c r="L1409" s="913"/>
      <c r="M1409" s="913"/>
      <c r="N1409" s="913"/>
      <c r="O1409" s="913"/>
      <c r="P1409" s="913"/>
      <c r="Q1409" s="576"/>
      <c r="R1409" s="576"/>
      <c r="S1409" s="576"/>
      <c r="T1409" s="576"/>
      <c r="U1409" s="576"/>
      <c r="V1409" s="576"/>
      <c r="W1409" s="576"/>
      <c r="X1409" s="576"/>
      <c r="Y1409" s="576"/>
      <c r="Z1409" s="576"/>
    </row>
    <row r="1410" spans="1:26" ht="18.75">
      <c r="A1410" s="680"/>
      <c r="B1410" s="680"/>
      <c r="C1410" s="680"/>
      <c r="D1410" s="910"/>
      <c r="E1410" s="680"/>
      <c r="F1410" s="680"/>
      <c r="G1410" s="680"/>
      <c r="H1410" s="911"/>
      <c r="I1410" s="912"/>
      <c r="J1410" s="912"/>
      <c r="K1410" s="913"/>
      <c r="L1410" s="913"/>
      <c r="M1410" s="913"/>
      <c r="N1410" s="913"/>
      <c r="O1410" s="913"/>
      <c r="P1410" s="913"/>
      <c r="Q1410" s="576"/>
      <c r="R1410" s="576"/>
      <c r="S1410" s="576"/>
      <c r="T1410" s="576"/>
      <c r="U1410" s="576"/>
      <c r="V1410" s="576"/>
      <c r="W1410" s="576"/>
      <c r="X1410" s="576"/>
      <c r="Y1410" s="576"/>
      <c r="Z1410" s="576"/>
    </row>
    <row r="1411" spans="1:26" ht="18.75">
      <c r="A1411" s="680"/>
      <c r="B1411" s="680"/>
      <c r="C1411" s="680"/>
      <c r="D1411" s="910"/>
      <c r="E1411" s="680"/>
      <c r="F1411" s="680"/>
      <c r="G1411" s="680"/>
      <c r="H1411" s="911"/>
      <c r="I1411" s="912"/>
      <c r="J1411" s="912"/>
      <c r="K1411" s="913"/>
      <c r="L1411" s="913"/>
      <c r="M1411" s="913"/>
      <c r="N1411" s="913"/>
      <c r="O1411" s="913"/>
      <c r="P1411" s="913"/>
      <c r="Q1411" s="576"/>
      <c r="R1411" s="576"/>
      <c r="S1411" s="576"/>
      <c r="T1411" s="576"/>
      <c r="U1411" s="576"/>
      <c r="V1411" s="576"/>
      <c r="W1411" s="576"/>
      <c r="X1411" s="576"/>
      <c r="Y1411" s="576"/>
      <c r="Z1411" s="576"/>
    </row>
    <row r="1412" spans="1:26" ht="18.75">
      <c r="A1412" s="680"/>
      <c r="B1412" s="680"/>
      <c r="C1412" s="680"/>
      <c r="D1412" s="910"/>
      <c r="E1412" s="680"/>
      <c r="F1412" s="680"/>
      <c r="G1412" s="680"/>
      <c r="H1412" s="911"/>
      <c r="I1412" s="912"/>
      <c r="J1412" s="912"/>
      <c r="K1412" s="913"/>
      <c r="L1412" s="913"/>
      <c r="M1412" s="913"/>
      <c r="N1412" s="913"/>
      <c r="O1412" s="913"/>
      <c r="P1412" s="913"/>
      <c r="Q1412" s="576"/>
      <c r="R1412" s="576"/>
      <c r="S1412" s="576"/>
      <c r="T1412" s="576"/>
      <c r="U1412" s="576"/>
      <c r="V1412" s="576"/>
      <c r="W1412" s="576"/>
      <c r="X1412" s="576"/>
      <c r="Y1412" s="576"/>
      <c r="Z1412" s="576"/>
    </row>
    <row r="1413" spans="1:26" ht="18.75">
      <c r="A1413" s="680"/>
      <c r="B1413" s="680"/>
      <c r="C1413" s="680"/>
      <c r="D1413" s="910"/>
      <c r="E1413" s="680"/>
      <c r="F1413" s="680"/>
      <c r="G1413" s="680"/>
      <c r="H1413" s="911"/>
      <c r="I1413" s="912"/>
      <c r="J1413" s="912"/>
      <c r="K1413" s="913"/>
      <c r="L1413" s="913"/>
      <c r="M1413" s="913"/>
      <c r="N1413" s="913"/>
      <c r="O1413" s="913"/>
      <c r="P1413" s="913"/>
      <c r="Q1413" s="576"/>
      <c r="R1413" s="576"/>
      <c r="S1413" s="576"/>
      <c r="T1413" s="576"/>
      <c r="U1413" s="576"/>
      <c r="V1413" s="576"/>
      <c r="W1413" s="576"/>
      <c r="X1413" s="576"/>
      <c r="Y1413" s="576"/>
      <c r="Z1413" s="576"/>
    </row>
    <row r="1414" spans="1:26" ht="18.75">
      <c r="A1414" s="680"/>
      <c r="B1414" s="680"/>
      <c r="C1414" s="680"/>
      <c r="D1414" s="910"/>
      <c r="E1414" s="680"/>
      <c r="F1414" s="680"/>
      <c r="G1414" s="680"/>
      <c r="H1414" s="911"/>
      <c r="I1414" s="912"/>
      <c r="J1414" s="912"/>
      <c r="K1414" s="913"/>
      <c r="L1414" s="913"/>
      <c r="M1414" s="913"/>
      <c r="N1414" s="913"/>
      <c r="O1414" s="913"/>
      <c r="P1414" s="913"/>
      <c r="Q1414" s="576"/>
      <c r="R1414" s="576"/>
      <c r="S1414" s="576"/>
      <c r="T1414" s="576"/>
      <c r="U1414" s="576"/>
      <c r="V1414" s="576"/>
      <c r="W1414" s="576"/>
      <c r="X1414" s="576"/>
      <c r="Y1414" s="576"/>
      <c r="Z1414" s="576"/>
    </row>
    <row r="1415" spans="1:26" ht="18.75">
      <c r="A1415" s="680"/>
      <c r="B1415" s="680"/>
      <c r="C1415" s="680"/>
      <c r="D1415" s="910"/>
      <c r="E1415" s="680"/>
      <c r="F1415" s="680"/>
      <c r="G1415" s="680"/>
      <c r="H1415" s="911"/>
      <c r="I1415" s="912"/>
      <c r="J1415" s="912"/>
      <c r="K1415" s="913"/>
      <c r="L1415" s="913"/>
      <c r="M1415" s="913"/>
      <c r="N1415" s="913"/>
      <c r="O1415" s="913"/>
      <c r="P1415" s="913"/>
      <c r="Q1415" s="576"/>
      <c r="R1415" s="576"/>
      <c r="S1415" s="576"/>
      <c r="T1415" s="576"/>
      <c r="U1415" s="576"/>
      <c r="V1415" s="576"/>
      <c r="W1415" s="576"/>
      <c r="X1415" s="576"/>
      <c r="Y1415" s="576"/>
      <c r="Z1415" s="576"/>
    </row>
    <row r="1416" spans="1:26" ht="18.75">
      <c r="A1416" s="680"/>
      <c r="B1416" s="680"/>
      <c r="C1416" s="680"/>
      <c r="D1416" s="910"/>
      <c r="E1416" s="680"/>
      <c r="F1416" s="680"/>
      <c r="G1416" s="680"/>
      <c r="H1416" s="911"/>
      <c r="I1416" s="912"/>
      <c r="J1416" s="912"/>
      <c r="K1416" s="913"/>
      <c r="L1416" s="913"/>
      <c r="M1416" s="913"/>
      <c r="N1416" s="913"/>
      <c r="O1416" s="913"/>
      <c r="P1416" s="913"/>
      <c r="Q1416" s="576"/>
      <c r="R1416" s="576"/>
      <c r="S1416" s="576"/>
      <c r="T1416" s="576"/>
      <c r="U1416" s="576"/>
      <c r="V1416" s="576"/>
      <c r="W1416" s="576"/>
      <c r="X1416" s="576"/>
      <c r="Y1416" s="576"/>
      <c r="Z1416" s="576"/>
    </row>
    <row r="1417" spans="1:26" ht="18.75">
      <c r="A1417" s="680"/>
      <c r="B1417" s="680"/>
      <c r="C1417" s="680"/>
      <c r="D1417" s="910"/>
      <c r="E1417" s="680"/>
      <c r="F1417" s="680"/>
      <c r="G1417" s="680"/>
      <c r="H1417" s="911"/>
      <c r="I1417" s="912"/>
      <c r="J1417" s="912"/>
      <c r="K1417" s="913"/>
      <c r="L1417" s="913"/>
      <c r="M1417" s="913"/>
      <c r="N1417" s="913"/>
      <c r="O1417" s="913"/>
      <c r="P1417" s="913"/>
      <c r="Q1417" s="576"/>
      <c r="R1417" s="576"/>
      <c r="S1417" s="576"/>
      <c r="T1417" s="576"/>
      <c r="U1417" s="576"/>
      <c r="V1417" s="576"/>
      <c r="W1417" s="576"/>
      <c r="X1417" s="576"/>
      <c r="Y1417" s="576"/>
      <c r="Z1417" s="576"/>
    </row>
    <row r="1418" spans="1:26" ht="18.75">
      <c r="A1418" s="680"/>
      <c r="B1418" s="680"/>
      <c r="C1418" s="680"/>
      <c r="D1418" s="910"/>
      <c r="E1418" s="680"/>
      <c r="F1418" s="680"/>
      <c r="G1418" s="680"/>
      <c r="H1418" s="911"/>
      <c r="I1418" s="912"/>
      <c r="J1418" s="912"/>
      <c r="K1418" s="913"/>
      <c r="L1418" s="913"/>
      <c r="M1418" s="913"/>
      <c r="N1418" s="913"/>
      <c r="O1418" s="913"/>
      <c r="P1418" s="913"/>
      <c r="Q1418" s="576"/>
      <c r="R1418" s="576"/>
      <c r="S1418" s="576"/>
      <c r="T1418" s="576"/>
      <c r="U1418" s="576"/>
      <c r="V1418" s="576"/>
      <c r="W1418" s="576"/>
      <c r="X1418" s="576"/>
      <c r="Y1418" s="576"/>
      <c r="Z1418" s="576"/>
    </row>
    <row r="1419" spans="1:26" ht="18.75">
      <c r="A1419" s="680"/>
      <c r="B1419" s="680"/>
      <c r="C1419" s="680"/>
      <c r="D1419" s="910"/>
      <c r="E1419" s="680"/>
      <c r="F1419" s="680"/>
      <c r="G1419" s="680"/>
      <c r="H1419" s="911"/>
      <c r="I1419" s="912"/>
      <c r="J1419" s="912"/>
      <c r="K1419" s="913"/>
      <c r="L1419" s="913"/>
      <c r="M1419" s="913"/>
      <c r="N1419" s="913"/>
      <c r="O1419" s="913"/>
      <c r="P1419" s="913"/>
      <c r="Q1419" s="576"/>
      <c r="R1419" s="576"/>
      <c r="S1419" s="576"/>
      <c r="T1419" s="576"/>
      <c r="U1419" s="576"/>
      <c r="V1419" s="576"/>
      <c r="W1419" s="576"/>
      <c r="X1419" s="576"/>
      <c r="Y1419" s="576"/>
      <c r="Z1419" s="576"/>
    </row>
    <row r="1420" spans="1:26" ht="18.75">
      <c r="A1420" s="680"/>
      <c r="B1420" s="680"/>
      <c r="C1420" s="680"/>
      <c r="D1420" s="910"/>
      <c r="E1420" s="680"/>
      <c r="F1420" s="680"/>
      <c r="G1420" s="680"/>
      <c r="H1420" s="911"/>
      <c r="I1420" s="912"/>
      <c r="J1420" s="912"/>
      <c r="K1420" s="913"/>
      <c r="L1420" s="913"/>
      <c r="M1420" s="913"/>
      <c r="N1420" s="913"/>
      <c r="O1420" s="913"/>
      <c r="P1420" s="913"/>
      <c r="Q1420" s="576"/>
      <c r="R1420" s="576"/>
      <c r="S1420" s="576"/>
      <c r="T1420" s="576"/>
      <c r="U1420" s="576"/>
      <c r="V1420" s="576"/>
      <c r="W1420" s="576"/>
      <c r="X1420" s="576"/>
      <c r="Y1420" s="576"/>
      <c r="Z1420" s="576"/>
    </row>
    <row r="1421" spans="1:26" ht="18.75">
      <c r="A1421" s="680"/>
      <c r="B1421" s="680"/>
      <c r="C1421" s="680"/>
      <c r="D1421" s="910"/>
      <c r="E1421" s="680"/>
      <c r="F1421" s="680"/>
      <c r="G1421" s="680"/>
      <c r="H1421" s="911"/>
      <c r="I1421" s="912"/>
      <c r="J1421" s="912"/>
      <c r="K1421" s="913"/>
      <c r="L1421" s="913"/>
      <c r="M1421" s="913"/>
      <c r="N1421" s="913"/>
      <c r="O1421" s="913"/>
      <c r="P1421" s="913"/>
      <c r="Q1421" s="576"/>
      <c r="R1421" s="576"/>
      <c r="S1421" s="576"/>
      <c r="T1421" s="576"/>
      <c r="U1421" s="576"/>
      <c r="V1421" s="576"/>
      <c r="W1421" s="576"/>
      <c r="X1421" s="576"/>
      <c r="Y1421" s="576"/>
      <c r="Z1421" s="576"/>
    </row>
    <row r="1422" spans="1:26" ht="18.75">
      <c r="A1422" s="680"/>
      <c r="B1422" s="680"/>
      <c r="C1422" s="680"/>
      <c r="D1422" s="910"/>
      <c r="E1422" s="680"/>
      <c r="F1422" s="680"/>
      <c r="G1422" s="680"/>
      <c r="H1422" s="911"/>
      <c r="I1422" s="912"/>
      <c r="J1422" s="912"/>
      <c r="K1422" s="913"/>
      <c r="L1422" s="913"/>
      <c r="M1422" s="913"/>
      <c r="N1422" s="913"/>
      <c r="O1422" s="913"/>
      <c r="P1422" s="913"/>
      <c r="Q1422" s="576"/>
      <c r="R1422" s="576"/>
      <c r="S1422" s="576"/>
      <c r="T1422" s="576"/>
      <c r="U1422" s="576"/>
      <c r="V1422" s="576"/>
      <c r="W1422" s="576"/>
      <c r="X1422" s="576"/>
      <c r="Y1422" s="576"/>
      <c r="Z1422" s="576"/>
    </row>
    <row r="1423" spans="1:26" ht="18.75">
      <c r="A1423" s="680"/>
      <c r="B1423" s="680"/>
      <c r="C1423" s="680"/>
      <c r="D1423" s="910"/>
      <c r="E1423" s="680"/>
      <c r="F1423" s="680"/>
      <c r="G1423" s="680"/>
      <c r="H1423" s="911"/>
      <c r="I1423" s="912"/>
      <c r="J1423" s="912"/>
      <c r="K1423" s="913"/>
      <c r="L1423" s="913"/>
      <c r="M1423" s="913"/>
      <c r="N1423" s="913"/>
      <c r="O1423" s="913"/>
      <c r="P1423" s="913"/>
      <c r="Q1423" s="576"/>
      <c r="R1423" s="576"/>
      <c r="S1423" s="576"/>
      <c r="T1423" s="576"/>
      <c r="U1423" s="576"/>
      <c r="V1423" s="576"/>
      <c r="W1423" s="576"/>
      <c r="X1423" s="576"/>
      <c r="Y1423" s="576"/>
      <c r="Z1423" s="576"/>
    </row>
    <row r="1424" spans="1:26" ht="18.75">
      <c r="A1424" s="680"/>
      <c r="B1424" s="680"/>
      <c r="C1424" s="680"/>
      <c r="D1424" s="910"/>
      <c r="E1424" s="680"/>
      <c r="F1424" s="680"/>
      <c r="G1424" s="680"/>
      <c r="H1424" s="911"/>
      <c r="I1424" s="912"/>
      <c r="J1424" s="912"/>
      <c r="K1424" s="913"/>
      <c r="L1424" s="913"/>
      <c r="M1424" s="913"/>
      <c r="N1424" s="913"/>
      <c r="O1424" s="913"/>
      <c r="P1424" s="913"/>
      <c r="Q1424" s="576"/>
      <c r="R1424" s="576"/>
      <c r="S1424" s="576"/>
      <c r="T1424" s="576"/>
      <c r="U1424" s="576"/>
      <c r="V1424" s="576"/>
      <c r="W1424" s="576"/>
      <c r="X1424" s="576"/>
      <c r="Y1424" s="576"/>
      <c r="Z1424" s="576"/>
    </row>
    <row r="1425" spans="1:26" ht="18.75">
      <c r="A1425" s="680"/>
      <c r="B1425" s="680"/>
      <c r="C1425" s="680"/>
      <c r="D1425" s="910"/>
      <c r="E1425" s="680"/>
      <c r="F1425" s="680"/>
      <c r="G1425" s="680"/>
      <c r="H1425" s="911"/>
      <c r="I1425" s="912"/>
      <c r="J1425" s="912"/>
      <c r="K1425" s="913"/>
      <c r="L1425" s="913"/>
      <c r="M1425" s="913"/>
      <c r="N1425" s="913"/>
      <c r="O1425" s="913"/>
      <c r="P1425" s="913"/>
      <c r="Q1425" s="576"/>
      <c r="R1425" s="576"/>
      <c r="S1425" s="576"/>
      <c r="T1425" s="576"/>
      <c r="U1425" s="576"/>
      <c r="V1425" s="576"/>
      <c r="W1425" s="576"/>
      <c r="X1425" s="576"/>
      <c r="Y1425" s="576"/>
      <c r="Z1425" s="576"/>
    </row>
    <row r="1426" spans="1:26" ht="18.75">
      <c r="A1426" s="680"/>
      <c r="B1426" s="680"/>
      <c r="C1426" s="680"/>
      <c r="D1426" s="910"/>
      <c r="E1426" s="680"/>
      <c r="F1426" s="680"/>
      <c r="G1426" s="680"/>
      <c r="H1426" s="911"/>
      <c r="I1426" s="912"/>
      <c r="J1426" s="912"/>
      <c r="K1426" s="913"/>
      <c r="L1426" s="913"/>
      <c r="M1426" s="913"/>
      <c r="N1426" s="913"/>
      <c r="O1426" s="913"/>
      <c r="P1426" s="913"/>
      <c r="Q1426" s="576"/>
      <c r="R1426" s="576"/>
      <c r="S1426" s="576"/>
      <c r="T1426" s="576"/>
      <c r="U1426" s="576"/>
      <c r="V1426" s="576"/>
      <c r="W1426" s="576"/>
      <c r="X1426" s="576"/>
      <c r="Y1426" s="576"/>
      <c r="Z1426" s="576"/>
    </row>
    <row r="1427" spans="1:26" ht="18.75">
      <c r="A1427" s="680"/>
      <c r="B1427" s="680"/>
      <c r="C1427" s="680"/>
      <c r="D1427" s="910"/>
      <c r="E1427" s="680"/>
      <c r="F1427" s="680"/>
      <c r="G1427" s="680"/>
      <c r="H1427" s="911"/>
      <c r="I1427" s="912"/>
      <c r="J1427" s="912"/>
      <c r="K1427" s="913"/>
      <c r="L1427" s="913"/>
      <c r="M1427" s="913"/>
      <c r="N1427" s="913"/>
      <c r="O1427" s="913"/>
      <c r="P1427" s="913"/>
      <c r="Q1427" s="576"/>
      <c r="R1427" s="576"/>
      <c r="S1427" s="576"/>
      <c r="T1427" s="576"/>
      <c r="U1427" s="576"/>
      <c r="V1427" s="576"/>
      <c r="W1427" s="576"/>
      <c r="X1427" s="576"/>
      <c r="Y1427" s="576"/>
      <c r="Z1427" s="576"/>
    </row>
    <row r="1428" spans="1:26" ht="18.75">
      <c r="A1428" s="680"/>
      <c r="B1428" s="680"/>
      <c r="C1428" s="680"/>
      <c r="D1428" s="910"/>
      <c r="E1428" s="680"/>
      <c r="F1428" s="680"/>
      <c r="G1428" s="680"/>
      <c r="H1428" s="911"/>
      <c r="I1428" s="912"/>
      <c r="J1428" s="912"/>
      <c r="K1428" s="913"/>
      <c r="L1428" s="913"/>
      <c r="M1428" s="913"/>
      <c r="N1428" s="913"/>
      <c r="O1428" s="913"/>
      <c r="P1428" s="913"/>
      <c r="Q1428" s="576"/>
      <c r="R1428" s="576"/>
      <c r="S1428" s="576"/>
      <c r="T1428" s="576"/>
      <c r="U1428" s="576"/>
      <c r="V1428" s="576"/>
      <c r="W1428" s="576"/>
      <c r="X1428" s="576"/>
      <c r="Y1428" s="576"/>
      <c r="Z1428" s="576"/>
    </row>
    <row r="1429" spans="1:26" ht="18.75">
      <c r="A1429" s="680"/>
      <c r="B1429" s="680"/>
      <c r="C1429" s="680"/>
      <c r="D1429" s="910"/>
      <c r="E1429" s="680"/>
      <c r="F1429" s="680"/>
      <c r="G1429" s="680"/>
      <c r="H1429" s="911"/>
      <c r="I1429" s="912"/>
      <c r="J1429" s="912"/>
      <c r="K1429" s="913"/>
      <c r="L1429" s="913"/>
      <c r="M1429" s="913"/>
      <c r="N1429" s="913"/>
      <c r="O1429" s="913"/>
      <c r="P1429" s="913"/>
      <c r="Q1429" s="576"/>
      <c r="R1429" s="576"/>
      <c r="S1429" s="576"/>
      <c r="T1429" s="576"/>
      <c r="U1429" s="576"/>
      <c r="V1429" s="576"/>
      <c r="W1429" s="576"/>
      <c r="X1429" s="576"/>
      <c r="Y1429" s="576"/>
      <c r="Z1429" s="576"/>
    </row>
    <row r="1430" spans="1:26" ht="18.75">
      <c r="A1430" s="680"/>
      <c r="B1430" s="680"/>
      <c r="C1430" s="680"/>
      <c r="D1430" s="910"/>
      <c r="E1430" s="680"/>
      <c r="F1430" s="680"/>
      <c r="G1430" s="680"/>
      <c r="H1430" s="911"/>
      <c r="I1430" s="912"/>
      <c r="J1430" s="912"/>
      <c r="K1430" s="913"/>
      <c r="L1430" s="913"/>
      <c r="M1430" s="913"/>
      <c r="N1430" s="913"/>
      <c r="O1430" s="913"/>
      <c r="P1430" s="913"/>
      <c r="Q1430" s="576"/>
      <c r="R1430" s="576"/>
      <c r="S1430" s="576"/>
      <c r="T1430" s="576"/>
      <c r="U1430" s="576"/>
      <c r="V1430" s="576"/>
      <c r="W1430" s="576"/>
      <c r="X1430" s="576"/>
      <c r="Y1430" s="576"/>
      <c r="Z1430" s="576"/>
    </row>
    <row r="1431" spans="1:26" ht="18.75">
      <c r="A1431" s="680"/>
      <c r="B1431" s="680"/>
      <c r="C1431" s="680"/>
      <c r="D1431" s="910"/>
      <c r="E1431" s="680"/>
      <c r="F1431" s="680"/>
      <c r="G1431" s="680"/>
      <c r="H1431" s="911"/>
      <c r="I1431" s="912"/>
      <c r="J1431" s="912"/>
      <c r="K1431" s="913"/>
      <c r="L1431" s="913"/>
      <c r="M1431" s="913"/>
      <c r="N1431" s="913"/>
      <c r="O1431" s="913"/>
      <c r="P1431" s="913"/>
      <c r="Q1431" s="576"/>
      <c r="R1431" s="576"/>
      <c r="S1431" s="576"/>
      <c r="T1431" s="576"/>
      <c r="U1431" s="576"/>
      <c r="V1431" s="576"/>
      <c r="W1431" s="576"/>
      <c r="X1431" s="576"/>
      <c r="Y1431" s="576"/>
      <c r="Z1431" s="576"/>
    </row>
    <row r="1432" spans="1:26" ht="18.75">
      <c r="A1432" s="680"/>
      <c r="B1432" s="680"/>
      <c r="C1432" s="680"/>
      <c r="D1432" s="910"/>
      <c r="E1432" s="680"/>
      <c r="F1432" s="680"/>
      <c r="G1432" s="680"/>
      <c r="H1432" s="911"/>
      <c r="I1432" s="912"/>
      <c r="J1432" s="912"/>
      <c r="K1432" s="913"/>
      <c r="L1432" s="913"/>
      <c r="M1432" s="913"/>
      <c r="N1432" s="913"/>
      <c r="O1432" s="913"/>
      <c r="P1432" s="913"/>
      <c r="Q1432" s="576"/>
      <c r="R1432" s="576"/>
      <c r="S1432" s="576"/>
      <c r="T1432" s="576"/>
      <c r="U1432" s="576"/>
      <c r="V1432" s="576"/>
      <c r="W1432" s="576"/>
      <c r="X1432" s="576"/>
      <c r="Y1432" s="576"/>
      <c r="Z1432" s="576"/>
    </row>
    <row r="1433" spans="1:26" ht="18.75">
      <c r="A1433" s="680"/>
      <c r="B1433" s="680"/>
      <c r="C1433" s="680"/>
      <c r="D1433" s="910"/>
      <c r="E1433" s="680"/>
      <c r="F1433" s="680"/>
      <c r="G1433" s="680"/>
      <c r="H1433" s="911"/>
      <c r="I1433" s="912"/>
      <c r="J1433" s="912"/>
      <c r="K1433" s="913"/>
      <c r="L1433" s="913"/>
      <c r="M1433" s="913"/>
      <c r="N1433" s="913"/>
      <c r="O1433" s="913"/>
      <c r="P1433" s="913"/>
      <c r="Q1433" s="576"/>
      <c r="R1433" s="576"/>
      <c r="S1433" s="576"/>
      <c r="T1433" s="576"/>
      <c r="U1433" s="576"/>
      <c r="V1433" s="576"/>
      <c r="W1433" s="576"/>
      <c r="X1433" s="576"/>
      <c r="Y1433" s="576"/>
      <c r="Z1433" s="576"/>
    </row>
    <row r="1434" spans="1:26" ht="18.75">
      <c r="A1434" s="680"/>
      <c r="B1434" s="680"/>
      <c r="C1434" s="680"/>
      <c r="D1434" s="910"/>
      <c r="E1434" s="680"/>
      <c r="F1434" s="680"/>
      <c r="G1434" s="680"/>
      <c r="H1434" s="911"/>
      <c r="I1434" s="912"/>
      <c r="J1434" s="912"/>
      <c r="K1434" s="913"/>
      <c r="L1434" s="913"/>
      <c r="M1434" s="913"/>
      <c r="N1434" s="913"/>
      <c r="O1434" s="913"/>
      <c r="P1434" s="913"/>
      <c r="Q1434" s="576"/>
      <c r="R1434" s="576"/>
      <c r="S1434" s="576"/>
      <c r="T1434" s="576"/>
      <c r="U1434" s="576"/>
      <c r="V1434" s="576"/>
      <c r="W1434" s="576"/>
      <c r="X1434" s="576"/>
      <c r="Y1434" s="576"/>
      <c r="Z1434" s="576"/>
    </row>
    <row r="1435" spans="1:26" ht="18.75">
      <c r="A1435" s="680"/>
      <c r="B1435" s="680"/>
      <c r="C1435" s="680"/>
      <c r="D1435" s="910"/>
      <c r="E1435" s="680"/>
      <c r="F1435" s="680"/>
      <c r="G1435" s="680"/>
      <c r="H1435" s="911"/>
      <c r="I1435" s="912"/>
      <c r="J1435" s="912"/>
      <c r="K1435" s="913"/>
      <c r="L1435" s="913"/>
      <c r="M1435" s="913"/>
      <c r="N1435" s="913"/>
      <c r="O1435" s="913"/>
      <c r="P1435" s="913"/>
      <c r="Q1435" s="576"/>
      <c r="R1435" s="576"/>
      <c r="S1435" s="576"/>
      <c r="T1435" s="576"/>
      <c r="U1435" s="576"/>
      <c r="V1435" s="576"/>
      <c r="W1435" s="576"/>
      <c r="X1435" s="576"/>
      <c r="Y1435" s="576"/>
      <c r="Z1435" s="576"/>
    </row>
    <row r="1436" spans="1:26" ht="18.75">
      <c r="A1436" s="680"/>
      <c r="B1436" s="680"/>
      <c r="C1436" s="680"/>
      <c r="D1436" s="910"/>
      <c r="E1436" s="680"/>
      <c r="F1436" s="680"/>
      <c r="G1436" s="680"/>
      <c r="H1436" s="911"/>
      <c r="I1436" s="912"/>
      <c r="J1436" s="912"/>
      <c r="K1436" s="913"/>
      <c r="L1436" s="913"/>
      <c r="M1436" s="913"/>
      <c r="N1436" s="913"/>
      <c r="O1436" s="913"/>
      <c r="P1436" s="913"/>
      <c r="Q1436" s="576"/>
      <c r="R1436" s="576"/>
      <c r="S1436" s="576"/>
      <c r="T1436" s="576"/>
      <c r="U1436" s="576"/>
      <c r="V1436" s="576"/>
      <c r="W1436" s="576"/>
      <c r="X1436" s="576"/>
      <c r="Y1436" s="576"/>
      <c r="Z1436" s="576"/>
    </row>
    <row r="1437" spans="1:26" ht="18.75">
      <c r="A1437" s="680"/>
      <c r="B1437" s="680"/>
      <c r="C1437" s="680"/>
      <c r="D1437" s="910"/>
      <c r="E1437" s="680"/>
      <c r="F1437" s="680"/>
      <c r="G1437" s="680"/>
      <c r="H1437" s="911"/>
      <c r="I1437" s="912"/>
      <c r="J1437" s="912"/>
      <c r="K1437" s="913"/>
      <c r="L1437" s="913"/>
      <c r="M1437" s="913"/>
      <c r="N1437" s="913"/>
      <c r="O1437" s="913"/>
      <c r="P1437" s="913"/>
      <c r="Q1437" s="576"/>
      <c r="R1437" s="576"/>
      <c r="S1437" s="576"/>
      <c r="T1437" s="576"/>
      <c r="U1437" s="576"/>
      <c r="V1437" s="576"/>
      <c r="W1437" s="576"/>
      <c r="X1437" s="576"/>
      <c r="Y1437" s="576"/>
      <c r="Z1437" s="576"/>
    </row>
    <row r="1438" spans="1:26" ht="18.75">
      <c r="A1438" s="680"/>
      <c r="B1438" s="680"/>
      <c r="C1438" s="680"/>
      <c r="D1438" s="910"/>
      <c r="E1438" s="680"/>
      <c r="F1438" s="680"/>
      <c r="G1438" s="680"/>
      <c r="H1438" s="911"/>
      <c r="I1438" s="912"/>
      <c r="J1438" s="912"/>
      <c r="K1438" s="913"/>
      <c r="L1438" s="913"/>
      <c r="M1438" s="913"/>
      <c r="N1438" s="913"/>
      <c r="O1438" s="913"/>
      <c r="P1438" s="913"/>
      <c r="Q1438" s="576"/>
      <c r="R1438" s="576"/>
      <c r="S1438" s="576"/>
      <c r="T1438" s="576"/>
      <c r="U1438" s="576"/>
      <c r="V1438" s="576"/>
      <c r="W1438" s="576"/>
      <c r="X1438" s="576"/>
      <c r="Y1438" s="576"/>
      <c r="Z1438" s="576"/>
    </row>
    <row r="1439" spans="1:26" ht="18.75">
      <c r="A1439" s="680"/>
      <c r="B1439" s="680"/>
      <c r="C1439" s="680"/>
      <c r="D1439" s="910"/>
      <c r="E1439" s="680"/>
      <c r="F1439" s="680"/>
      <c r="G1439" s="680"/>
      <c r="H1439" s="911"/>
      <c r="I1439" s="912"/>
      <c r="J1439" s="912"/>
      <c r="K1439" s="913"/>
      <c r="L1439" s="913"/>
      <c r="M1439" s="913"/>
      <c r="N1439" s="913"/>
      <c r="O1439" s="913"/>
      <c r="P1439" s="913"/>
      <c r="Q1439" s="576"/>
      <c r="R1439" s="576"/>
      <c r="S1439" s="576"/>
      <c r="T1439" s="576"/>
      <c r="U1439" s="576"/>
      <c r="V1439" s="576"/>
      <c r="W1439" s="576"/>
      <c r="X1439" s="576"/>
      <c r="Y1439" s="576"/>
      <c r="Z1439" s="576"/>
    </row>
    <row r="1440" spans="1:26" ht="18.75">
      <c r="A1440" s="680"/>
      <c r="B1440" s="680"/>
      <c r="C1440" s="680"/>
      <c r="D1440" s="910"/>
      <c r="E1440" s="680"/>
      <c r="F1440" s="680"/>
      <c r="G1440" s="680"/>
      <c r="H1440" s="911"/>
      <c r="I1440" s="912"/>
      <c r="J1440" s="912"/>
      <c r="K1440" s="913"/>
      <c r="L1440" s="913"/>
      <c r="M1440" s="913"/>
      <c r="N1440" s="913"/>
      <c r="O1440" s="913"/>
      <c r="P1440" s="913"/>
      <c r="Q1440" s="576"/>
      <c r="R1440" s="576"/>
      <c r="S1440" s="576"/>
      <c r="T1440" s="576"/>
      <c r="U1440" s="576"/>
      <c r="V1440" s="576"/>
      <c r="W1440" s="576"/>
      <c r="X1440" s="576"/>
      <c r="Y1440" s="576"/>
      <c r="Z1440" s="576"/>
    </row>
    <row r="1441" spans="1:26" ht="18.75">
      <c r="A1441" s="680"/>
      <c r="B1441" s="680"/>
      <c r="C1441" s="680"/>
      <c r="D1441" s="910"/>
      <c r="E1441" s="680"/>
      <c r="F1441" s="680"/>
      <c r="G1441" s="680"/>
      <c r="H1441" s="911"/>
      <c r="I1441" s="912"/>
      <c r="J1441" s="912"/>
      <c r="K1441" s="913"/>
      <c r="L1441" s="913"/>
      <c r="M1441" s="913"/>
      <c r="N1441" s="913"/>
      <c r="O1441" s="913"/>
      <c r="P1441" s="913"/>
      <c r="Q1441" s="576"/>
      <c r="R1441" s="576"/>
      <c r="S1441" s="576"/>
      <c r="T1441" s="576"/>
      <c r="U1441" s="576"/>
      <c r="V1441" s="576"/>
      <c r="W1441" s="576"/>
      <c r="X1441" s="576"/>
      <c r="Y1441" s="576"/>
      <c r="Z1441" s="576"/>
    </row>
    <row r="1442" spans="1:26" ht="18.75">
      <c r="A1442" s="680"/>
      <c r="B1442" s="680"/>
      <c r="C1442" s="680"/>
      <c r="D1442" s="910"/>
      <c r="E1442" s="680"/>
      <c r="F1442" s="680"/>
      <c r="G1442" s="680"/>
      <c r="H1442" s="911"/>
      <c r="I1442" s="912"/>
      <c r="J1442" s="912"/>
      <c r="K1442" s="913"/>
      <c r="L1442" s="913"/>
      <c r="M1442" s="913"/>
      <c r="N1442" s="913"/>
      <c r="O1442" s="913"/>
      <c r="P1442" s="913"/>
      <c r="Q1442" s="576"/>
      <c r="R1442" s="576"/>
      <c r="S1442" s="576"/>
      <c r="T1442" s="576"/>
      <c r="U1442" s="576"/>
      <c r="V1442" s="576"/>
      <c r="W1442" s="576"/>
      <c r="X1442" s="576"/>
      <c r="Y1442" s="576"/>
      <c r="Z1442" s="576"/>
    </row>
    <row r="1443" spans="1:26" ht="18.75">
      <c r="A1443" s="680"/>
      <c r="B1443" s="680"/>
      <c r="C1443" s="680"/>
      <c r="D1443" s="910"/>
      <c r="E1443" s="680"/>
      <c r="F1443" s="680"/>
      <c r="G1443" s="680"/>
      <c r="H1443" s="911"/>
      <c r="I1443" s="912"/>
      <c r="J1443" s="912"/>
      <c r="K1443" s="913"/>
      <c r="L1443" s="913"/>
      <c r="M1443" s="913"/>
      <c r="N1443" s="913"/>
      <c r="O1443" s="913"/>
      <c r="P1443" s="913"/>
      <c r="Q1443" s="576"/>
      <c r="R1443" s="576"/>
      <c r="S1443" s="576"/>
      <c r="T1443" s="576"/>
      <c r="U1443" s="576"/>
      <c r="V1443" s="576"/>
      <c r="W1443" s="576"/>
      <c r="X1443" s="576"/>
      <c r="Y1443" s="576"/>
      <c r="Z1443" s="576"/>
    </row>
    <row r="1444" spans="1:26" ht="18.75">
      <c r="A1444" s="680"/>
      <c r="B1444" s="680"/>
      <c r="C1444" s="680"/>
      <c r="D1444" s="910"/>
      <c r="E1444" s="680"/>
      <c r="F1444" s="680"/>
      <c r="G1444" s="680"/>
      <c r="H1444" s="911"/>
      <c r="I1444" s="912"/>
      <c r="J1444" s="912"/>
      <c r="K1444" s="913"/>
      <c r="L1444" s="913"/>
      <c r="M1444" s="913"/>
      <c r="N1444" s="913"/>
      <c r="O1444" s="913"/>
      <c r="P1444" s="913"/>
      <c r="Q1444" s="576"/>
      <c r="R1444" s="576"/>
      <c r="S1444" s="576"/>
      <c r="T1444" s="576"/>
      <c r="U1444" s="576"/>
      <c r="V1444" s="576"/>
      <c r="W1444" s="576"/>
      <c r="X1444" s="576"/>
      <c r="Y1444" s="576"/>
      <c r="Z1444" s="576"/>
    </row>
    <row r="1445" spans="1:26" ht="18.75">
      <c r="A1445" s="680"/>
      <c r="B1445" s="680"/>
      <c r="C1445" s="680"/>
      <c r="D1445" s="910"/>
      <c r="E1445" s="680"/>
      <c r="F1445" s="680"/>
      <c r="G1445" s="680"/>
      <c r="H1445" s="911"/>
      <c r="I1445" s="912"/>
      <c r="J1445" s="912"/>
      <c r="K1445" s="913"/>
      <c r="L1445" s="913"/>
      <c r="M1445" s="913"/>
      <c r="N1445" s="913"/>
      <c r="O1445" s="913"/>
      <c r="P1445" s="913"/>
      <c r="Q1445" s="576"/>
      <c r="R1445" s="576"/>
      <c r="S1445" s="576"/>
      <c r="T1445" s="576"/>
      <c r="U1445" s="576"/>
      <c r="V1445" s="576"/>
      <c r="W1445" s="576"/>
      <c r="X1445" s="576"/>
      <c r="Y1445" s="576"/>
      <c r="Z1445" s="576"/>
    </row>
    <row r="1446" spans="1:26" ht="18.75">
      <c r="A1446" s="680"/>
      <c r="B1446" s="680"/>
      <c r="C1446" s="680"/>
      <c r="D1446" s="910"/>
      <c r="E1446" s="680"/>
      <c r="F1446" s="680"/>
      <c r="G1446" s="680"/>
      <c r="H1446" s="911"/>
      <c r="I1446" s="912"/>
      <c r="J1446" s="912"/>
      <c r="K1446" s="913"/>
      <c r="L1446" s="913"/>
      <c r="M1446" s="913"/>
      <c r="N1446" s="913"/>
      <c r="O1446" s="913"/>
      <c r="P1446" s="913"/>
      <c r="Q1446" s="576"/>
      <c r="R1446" s="576"/>
      <c r="S1446" s="576"/>
      <c r="T1446" s="576"/>
      <c r="U1446" s="576"/>
      <c r="V1446" s="576"/>
      <c r="W1446" s="576"/>
      <c r="X1446" s="576"/>
      <c r="Y1446" s="576"/>
      <c r="Z1446" s="576"/>
    </row>
    <row r="1447" spans="1:26" ht="18.75">
      <c r="A1447" s="680"/>
      <c r="B1447" s="680"/>
      <c r="C1447" s="680"/>
      <c r="D1447" s="910"/>
      <c r="E1447" s="680"/>
      <c r="F1447" s="680"/>
      <c r="G1447" s="680"/>
      <c r="H1447" s="911"/>
      <c r="I1447" s="912"/>
      <c r="J1447" s="912"/>
      <c r="K1447" s="913"/>
      <c r="L1447" s="913"/>
      <c r="M1447" s="913"/>
      <c r="N1447" s="913"/>
      <c r="O1447" s="913"/>
      <c r="P1447" s="913"/>
      <c r="Q1447" s="576"/>
      <c r="R1447" s="576"/>
      <c r="S1447" s="576"/>
      <c r="T1447" s="576"/>
      <c r="U1447" s="576"/>
      <c r="V1447" s="576"/>
      <c r="W1447" s="576"/>
      <c r="X1447" s="576"/>
      <c r="Y1447" s="576"/>
      <c r="Z1447" s="576"/>
    </row>
    <row r="1448" spans="1:26" ht="18.75">
      <c r="A1448" s="680"/>
      <c r="B1448" s="680"/>
      <c r="C1448" s="680"/>
      <c r="D1448" s="910"/>
      <c r="E1448" s="680"/>
      <c r="F1448" s="680"/>
      <c r="G1448" s="680"/>
      <c r="H1448" s="911"/>
      <c r="I1448" s="912"/>
      <c r="J1448" s="912"/>
      <c r="K1448" s="913"/>
      <c r="L1448" s="913"/>
      <c r="M1448" s="913"/>
      <c r="N1448" s="913"/>
      <c r="O1448" s="913"/>
      <c r="P1448" s="913"/>
      <c r="Q1448" s="576"/>
      <c r="R1448" s="576"/>
      <c r="S1448" s="576"/>
      <c r="T1448" s="576"/>
      <c r="U1448" s="576"/>
      <c r="V1448" s="576"/>
      <c r="W1448" s="576"/>
      <c r="X1448" s="576"/>
      <c r="Y1448" s="576"/>
      <c r="Z1448" s="576"/>
    </row>
    <row r="1449" spans="1:26" ht="18.75">
      <c r="A1449" s="680"/>
      <c r="B1449" s="680"/>
      <c r="C1449" s="680"/>
      <c r="D1449" s="910"/>
      <c r="E1449" s="680"/>
      <c r="F1449" s="680"/>
      <c r="G1449" s="680"/>
      <c r="H1449" s="911"/>
      <c r="I1449" s="912"/>
      <c r="J1449" s="912"/>
      <c r="K1449" s="913"/>
      <c r="L1449" s="913"/>
      <c r="M1449" s="913"/>
      <c r="N1449" s="913"/>
      <c r="O1449" s="913"/>
      <c r="P1449" s="913"/>
      <c r="Q1449" s="576"/>
      <c r="R1449" s="576"/>
      <c r="S1449" s="576"/>
      <c r="T1449" s="576"/>
      <c r="U1449" s="576"/>
      <c r="V1449" s="576"/>
      <c r="W1449" s="576"/>
      <c r="X1449" s="576"/>
      <c r="Y1449" s="576"/>
      <c r="Z1449" s="576"/>
    </row>
    <row r="1450" spans="1:26" ht="18.75">
      <c r="A1450" s="680"/>
      <c r="B1450" s="680"/>
      <c r="C1450" s="680"/>
      <c r="D1450" s="910"/>
      <c r="E1450" s="680"/>
      <c r="F1450" s="680"/>
      <c r="G1450" s="680"/>
      <c r="H1450" s="911"/>
      <c r="I1450" s="912"/>
      <c r="J1450" s="912"/>
      <c r="K1450" s="913"/>
      <c r="L1450" s="913"/>
      <c r="M1450" s="913"/>
      <c r="N1450" s="913"/>
      <c r="O1450" s="913"/>
      <c r="P1450" s="913"/>
      <c r="Q1450" s="576"/>
      <c r="R1450" s="576"/>
      <c r="S1450" s="576"/>
      <c r="T1450" s="576"/>
      <c r="U1450" s="576"/>
      <c r="V1450" s="576"/>
      <c r="W1450" s="576"/>
      <c r="X1450" s="576"/>
      <c r="Y1450" s="576"/>
      <c r="Z1450" s="576"/>
    </row>
    <row r="1451" spans="1:26" ht="18.75">
      <c r="A1451" s="680"/>
      <c r="B1451" s="680"/>
      <c r="C1451" s="680"/>
      <c r="D1451" s="910"/>
      <c r="E1451" s="680"/>
      <c r="F1451" s="680"/>
      <c r="G1451" s="680"/>
      <c r="H1451" s="911"/>
      <c r="I1451" s="912"/>
      <c r="J1451" s="912"/>
      <c r="K1451" s="913"/>
      <c r="L1451" s="913"/>
      <c r="M1451" s="913"/>
      <c r="N1451" s="913"/>
      <c r="O1451" s="913"/>
      <c r="P1451" s="913"/>
      <c r="Q1451" s="576"/>
      <c r="R1451" s="576"/>
      <c r="S1451" s="576"/>
      <c r="T1451" s="576"/>
      <c r="U1451" s="576"/>
      <c r="V1451" s="576"/>
      <c r="W1451" s="576"/>
      <c r="X1451" s="576"/>
      <c r="Y1451" s="576"/>
      <c r="Z1451" s="576"/>
    </row>
    <row r="1452" spans="1:26" ht="18.75">
      <c r="A1452" s="680"/>
      <c r="B1452" s="680"/>
      <c r="C1452" s="680"/>
      <c r="D1452" s="910"/>
      <c r="E1452" s="680"/>
      <c r="F1452" s="680"/>
      <c r="G1452" s="680"/>
      <c r="H1452" s="911"/>
      <c r="I1452" s="912"/>
      <c r="J1452" s="912"/>
      <c r="K1452" s="913"/>
      <c r="L1452" s="913"/>
      <c r="M1452" s="913"/>
      <c r="N1452" s="913"/>
      <c r="O1452" s="913"/>
      <c r="P1452" s="913"/>
      <c r="Q1452" s="576"/>
      <c r="R1452" s="576"/>
      <c r="S1452" s="576"/>
      <c r="T1452" s="576"/>
      <c r="U1452" s="576"/>
      <c r="V1452" s="576"/>
      <c r="W1452" s="576"/>
      <c r="X1452" s="576"/>
      <c r="Y1452" s="576"/>
      <c r="Z1452" s="576"/>
    </row>
    <row r="1453" spans="1:26" ht="18.75">
      <c r="A1453" s="680"/>
      <c r="B1453" s="680"/>
      <c r="C1453" s="680"/>
      <c r="D1453" s="910"/>
      <c r="E1453" s="680"/>
      <c r="F1453" s="680"/>
      <c r="G1453" s="680"/>
      <c r="H1453" s="911"/>
      <c r="I1453" s="912"/>
      <c r="J1453" s="912"/>
      <c r="K1453" s="913"/>
      <c r="L1453" s="913"/>
      <c r="M1453" s="913"/>
      <c r="N1453" s="913"/>
      <c r="O1453" s="913"/>
      <c r="P1453" s="913"/>
      <c r="Q1453" s="576"/>
      <c r="R1453" s="576"/>
      <c r="S1453" s="576"/>
      <c r="T1453" s="576"/>
      <c r="U1453" s="576"/>
      <c r="V1453" s="576"/>
      <c r="W1453" s="576"/>
      <c r="X1453" s="576"/>
      <c r="Y1453" s="576"/>
      <c r="Z1453" s="576"/>
    </row>
    <row r="1454" spans="1:26" ht="18.75">
      <c r="A1454" s="680"/>
      <c r="B1454" s="680"/>
      <c r="C1454" s="680"/>
      <c r="D1454" s="910"/>
      <c r="E1454" s="680"/>
      <c r="F1454" s="680"/>
      <c r="G1454" s="680"/>
      <c r="H1454" s="911"/>
      <c r="I1454" s="912"/>
      <c r="J1454" s="912"/>
      <c r="K1454" s="913"/>
      <c r="L1454" s="913"/>
      <c r="M1454" s="913"/>
      <c r="N1454" s="913"/>
      <c r="O1454" s="913"/>
      <c r="P1454" s="913"/>
      <c r="Q1454" s="576"/>
      <c r="R1454" s="576"/>
      <c r="S1454" s="576"/>
      <c r="T1454" s="576"/>
      <c r="U1454" s="576"/>
      <c r="V1454" s="576"/>
      <c r="W1454" s="576"/>
      <c r="X1454" s="576"/>
      <c r="Y1454" s="576"/>
      <c r="Z1454" s="576"/>
    </row>
    <row r="1455" spans="1:26" ht="18.75">
      <c r="A1455" s="680"/>
      <c r="B1455" s="680"/>
      <c r="C1455" s="680"/>
      <c r="D1455" s="910"/>
      <c r="E1455" s="680"/>
      <c r="F1455" s="680"/>
      <c r="G1455" s="680"/>
      <c r="H1455" s="911"/>
      <c r="I1455" s="912"/>
      <c r="J1455" s="912"/>
      <c r="K1455" s="913"/>
      <c r="L1455" s="913"/>
      <c r="M1455" s="913"/>
      <c r="N1455" s="913"/>
      <c r="O1455" s="913"/>
      <c r="P1455" s="913"/>
      <c r="Q1455" s="576"/>
      <c r="R1455" s="576"/>
      <c r="S1455" s="576"/>
      <c r="T1455" s="576"/>
      <c r="U1455" s="576"/>
      <c r="V1455" s="576"/>
      <c r="W1455" s="576"/>
      <c r="X1455" s="576"/>
      <c r="Y1455" s="576"/>
      <c r="Z1455" s="576"/>
    </row>
    <row r="1456" spans="1:26" ht="18.75">
      <c r="A1456" s="680"/>
      <c r="B1456" s="680"/>
      <c r="C1456" s="680"/>
      <c r="D1456" s="910"/>
      <c r="E1456" s="680"/>
      <c r="F1456" s="680"/>
      <c r="G1456" s="680"/>
      <c r="H1456" s="911"/>
      <c r="I1456" s="912"/>
      <c r="J1456" s="912"/>
      <c r="K1456" s="913"/>
      <c r="L1456" s="913"/>
      <c r="M1456" s="913"/>
      <c r="N1456" s="913"/>
      <c r="O1456" s="913"/>
      <c r="P1456" s="913"/>
      <c r="Q1456" s="576"/>
      <c r="R1456" s="576"/>
      <c r="S1456" s="576"/>
      <c r="T1456" s="576"/>
      <c r="U1456" s="576"/>
      <c r="V1456" s="576"/>
      <c r="W1456" s="576"/>
      <c r="X1456" s="576"/>
      <c r="Y1456" s="576"/>
      <c r="Z1456" s="576"/>
    </row>
    <row r="1457" spans="1:26" ht="18.75">
      <c r="A1457" s="680"/>
      <c r="B1457" s="680"/>
      <c r="C1457" s="680"/>
      <c r="D1457" s="910"/>
      <c r="E1457" s="680"/>
      <c r="F1457" s="680"/>
      <c r="G1457" s="680"/>
      <c r="H1457" s="911"/>
      <c r="I1457" s="912"/>
      <c r="J1457" s="912"/>
      <c r="K1457" s="913"/>
      <c r="L1457" s="913"/>
      <c r="M1457" s="913"/>
      <c r="N1457" s="913"/>
      <c r="O1457" s="913"/>
      <c r="P1457" s="913"/>
      <c r="Q1457" s="576"/>
      <c r="R1457" s="576"/>
      <c r="S1457" s="576"/>
      <c r="T1457" s="576"/>
      <c r="U1457" s="576"/>
      <c r="V1457" s="576"/>
      <c r="W1457" s="576"/>
      <c r="X1457" s="576"/>
      <c r="Y1457" s="576"/>
      <c r="Z1457" s="576"/>
    </row>
    <row r="1458" spans="1:26" ht="18.75">
      <c r="A1458" s="680"/>
      <c r="B1458" s="680"/>
      <c r="C1458" s="680"/>
      <c r="D1458" s="910"/>
      <c r="E1458" s="680"/>
      <c r="F1458" s="680"/>
      <c r="G1458" s="680"/>
      <c r="H1458" s="911"/>
      <c r="I1458" s="912"/>
      <c r="J1458" s="912"/>
      <c r="K1458" s="913"/>
      <c r="L1458" s="913"/>
      <c r="M1458" s="913"/>
      <c r="N1458" s="913"/>
      <c r="O1458" s="913"/>
      <c r="P1458" s="913"/>
      <c r="Q1458" s="576"/>
      <c r="R1458" s="576"/>
      <c r="S1458" s="576"/>
      <c r="T1458" s="576"/>
      <c r="U1458" s="576"/>
      <c r="V1458" s="576"/>
      <c r="W1458" s="576"/>
      <c r="X1458" s="576"/>
      <c r="Y1458" s="576"/>
      <c r="Z1458" s="576"/>
    </row>
    <row r="1459" spans="1:26" ht="18.75">
      <c r="A1459" s="680"/>
      <c r="B1459" s="680"/>
      <c r="C1459" s="680"/>
      <c r="D1459" s="910"/>
      <c r="E1459" s="680"/>
      <c r="F1459" s="680"/>
      <c r="G1459" s="680"/>
      <c r="H1459" s="911"/>
      <c r="I1459" s="912"/>
      <c r="J1459" s="912"/>
      <c r="K1459" s="913"/>
      <c r="L1459" s="913"/>
      <c r="M1459" s="913"/>
      <c r="N1459" s="913"/>
      <c r="O1459" s="913"/>
      <c r="P1459" s="913"/>
      <c r="Q1459" s="576"/>
      <c r="R1459" s="576"/>
      <c r="S1459" s="576"/>
      <c r="T1459" s="576"/>
      <c r="U1459" s="576"/>
      <c r="V1459" s="576"/>
      <c r="W1459" s="576"/>
      <c r="X1459" s="576"/>
      <c r="Y1459" s="576"/>
      <c r="Z1459" s="576"/>
    </row>
    <row r="1460" spans="1:26" ht="18.75">
      <c r="A1460" s="680"/>
      <c r="B1460" s="680"/>
      <c r="C1460" s="680"/>
      <c r="D1460" s="910"/>
      <c r="E1460" s="680"/>
      <c r="F1460" s="680"/>
      <c r="G1460" s="680"/>
      <c r="H1460" s="911"/>
      <c r="I1460" s="912"/>
      <c r="J1460" s="912"/>
      <c r="K1460" s="913"/>
      <c r="L1460" s="913"/>
      <c r="M1460" s="913"/>
      <c r="N1460" s="913"/>
      <c r="O1460" s="913"/>
      <c r="P1460" s="913"/>
      <c r="Q1460" s="576"/>
      <c r="R1460" s="576"/>
      <c r="S1460" s="576"/>
      <c r="T1460" s="576"/>
      <c r="U1460" s="576"/>
      <c r="V1460" s="576"/>
      <c r="W1460" s="576"/>
      <c r="X1460" s="576"/>
      <c r="Y1460" s="576"/>
      <c r="Z1460" s="576"/>
    </row>
    <row r="1461" spans="1:26" ht="18.75">
      <c r="A1461" s="680"/>
      <c r="B1461" s="680"/>
      <c r="C1461" s="680"/>
      <c r="D1461" s="910"/>
      <c r="E1461" s="680"/>
      <c r="F1461" s="680"/>
      <c r="G1461" s="680"/>
      <c r="H1461" s="911"/>
      <c r="I1461" s="912"/>
      <c r="J1461" s="912"/>
      <c r="K1461" s="913"/>
      <c r="L1461" s="913"/>
      <c r="M1461" s="913"/>
      <c r="N1461" s="913"/>
      <c r="O1461" s="913"/>
      <c r="P1461" s="913"/>
      <c r="Q1461" s="576"/>
      <c r="R1461" s="576"/>
      <c r="S1461" s="576"/>
      <c r="T1461" s="576"/>
      <c r="U1461" s="576"/>
      <c r="V1461" s="576"/>
      <c r="W1461" s="576"/>
      <c r="X1461" s="576"/>
      <c r="Y1461" s="576"/>
      <c r="Z1461" s="576"/>
    </row>
    <row r="1462" spans="1:26" ht="18.75">
      <c r="A1462" s="680"/>
      <c r="B1462" s="680"/>
      <c r="C1462" s="680"/>
      <c r="D1462" s="910"/>
      <c r="E1462" s="680"/>
      <c r="F1462" s="680"/>
      <c r="G1462" s="680"/>
      <c r="H1462" s="911"/>
      <c r="I1462" s="912"/>
      <c r="J1462" s="912"/>
      <c r="K1462" s="913"/>
      <c r="L1462" s="913"/>
      <c r="M1462" s="913"/>
      <c r="N1462" s="913"/>
      <c r="O1462" s="913"/>
      <c r="P1462" s="913"/>
      <c r="Q1462" s="576"/>
      <c r="R1462" s="576"/>
      <c r="S1462" s="576"/>
      <c r="T1462" s="576"/>
      <c r="U1462" s="576"/>
      <c r="V1462" s="576"/>
      <c r="W1462" s="576"/>
      <c r="X1462" s="576"/>
      <c r="Y1462" s="576"/>
      <c r="Z1462" s="576"/>
    </row>
    <row r="1463" spans="1:26" ht="18.75">
      <c r="A1463" s="680"/>
      <c r="B1463" s="680"/>
      <c r="C1463" s="680"/>
      <c r="D1463" s="910"/>
      <c r="E1463" s="680"/>
      <c r="F1463" s="680"/>
      <c r="G1463" s="680"/>
      <c r="H1463" s="911"/>
      <c r="I1463" s="912"/>
      <c r="J1463" s="912"/>
      <c r="K1463" s="913"/>
      <c r="L1463" s="913"/>
      <c r="M1463" s="913"/>
      <c r="N1463" s="913"/>
      <c r="O1463" s="913"/>
      <c r="P1463" s="913"/>
      <c r="Q1463" s="576"/>
      <c r="R1463" s="576"/>
      <c r="S1463" s="576"/>
      <c r="T1463" s="576"/>
      <c r="U1463" s="576"/>
      <c r="V1463" s="576"/>
      <c r="W1463" s="576"/>
      <c r="X1463" s="576"/>
      <c r="Y1463" s="576"/>
      <c r="Z1463" s="576"/>
    </row>
    <row r="1464" spans="1:26" ht="18.75">
      <c r="A1464" s="680"/>
      <c r="B1464" s="680"/>
      <c r="C1464" s="680"/>
      <c r="D1464" s="910"/>
      <c r="E1464" s="680"/>
      <c r="F1464" s="680"/>
      <c r="G1464" s="680"/>
      <c r="H1464" s="911"/>
      <c r="I1464" s="912"/>
      <c r="J1464" s="912"/>
      <c r="K1464" s="913"/>
      <c r="L1464" s="913"/>
      <c r="M1464" s="913"/>
      <c r="N1464" s="913"/>
      <c r="O1464" s="913"/>
      <c r="P1464" s="913"/>
      <c r="Q1464" s="576"/>
      <c r="R1464" s="576"/>
      <c r="S1464" s="576"/>
      <c r="T1464" s="576"/>
      <c r="U1464" s="576"/>
      <c r="V1464" s="576"/>
      <c r="W1464" s="576"/>
      <c r="X1464" s="576"/>
      <c r="Y1464" s="576"/>
      <c r="Z1464" s="576"/>
    </row>
    <row r="1465" spans="1:26" ht="18.75">
      <c r="A1465" s="680"/>
      <c r="B1465" s="680"/>
      <c r="C1465" s="680"/>
      <c r="D1465" s="910"/>
      <c r="E1465" s="680"/>
      <c r="F1465" s="680"/>
      <c r="G1465" s="680"/>
      <c r="H1465" s="911"/>
      <c r="I1465" s="912"/>
      <c r="J1465" s="912"/>
      <c r="K1465" s="913"/>
      <c r="L1465" s="913"/>
      <c r="M1465" s="913"/>
      <c r="N1465" s="913"/>
      <c r="O1465" s="913"/>
      <c r="P1465" s="913"/>
      <c r="Q1465" s="576"/>
      <c r="R1465" s="576"/>
      <c r="S1465" s="576"/>
      <c r="T1465" s="576"/>
      <c r="U1465" s="576"/>
      <c r="V1465" s="576"/>
      <c r="W1465" s="576"/>
      <c r="X1465" s="576"/>
      <c r="Y1465" s="576"/>
      <c r="Z1465" s="576"/>
    </row>
    <row r="1466" spans="1:26" ht="18.75">
      <c r="A1466" s="680"/>
      <c r="B1466" s="680"/>
      <c r="C1466" s="680"/>
      <c r="D1466" s="910"/>
      <c r="E1466" s="680"/>
      <c r="F1466" s="680"/>
      <c r="G1466" s="680"/>
      <c r="H1466" s="911"/>
      <c r="I1466" s="912"/>
      <c r="J1466" s="912"/>
      <c r="K1466" s="913"/>
      <c r="L1466" s="913"/>
      <c r="M1466" s="913"/>
      <c r="N1466" s="913"/>
      <c r="O1466" s="913"/>
      <c r="P1466" s="913"/>
      <c r="Q1466" s="576"/>
      <c r="R1466" s="576"/>
      <c r="S1466" s="576"/>
      <c r="T1466" s="576"/>
      <c r="U1466" s="576"/>
      <c r="V1466" s="576"/>
      <c r="W1466" s="576"/>
      <c r="X1466" s="576"/>
      <c r="Y1466" s="576"/>
      <c r="Z1466" s="576"/>
    </row>
    <row r="1467" spans="1:26" ht="18.75">
      <c r="A1467" s="680"/>
      <c r="B1467" s="680"/>
      <c r="C1467" s="680"/>
      <c r="D1467" s="910"/>
      <c r="E1467" s="680"/>
      <c r="F1467" s="680"/>
      <c r="G1467" s="680"/>
      <c r="H1467" s="911"/>
      <c r="I1467" s="912"/>
      <c r="J1467" s="912"/>
      <c r="K1467" s="913"/>
      <c r="L1467" s="913"/>
      <c r="M1467" s="913"/>
      <c r="N1467" s="913"/>
      <c r="O1467" s="913"/>
      <c r="P1467" s="913"/>
      <c r="Q1467" s="576"/>
      <c r="R1467" s="576"/>
      <c r="S1467" s="576"/>
      <c r="T1467" s="576"/>
      <c r="U1467" s="576"/>
      <c r="V1467" s="576"/>
      <c r="W1467" s="576"/>
      <c r="X1467" s="576"/>
      <c r="Y1467" s="576"/>
      <c r="Z1467" s="576"/>
    </row>
    <row r="1468" spans="1:26" ht="18.75">
      <c r="A1468" s="680"/>
      <c r="B1468" s="680"/>
      <c r="C1468" s="680"/>
      <c r="D1468" s="910"/>
      <c r="E1468" s="680"/>
      <c r="F1468" s="680"/>
      <c r="G1468" s="680"/>
      <c r="H1468" s="911"/>
      <c r="I1468" s="912"/>
      <c r="J1468" s="912"/>
      <c r="K1468" s="913"/>
      <c r="L1468" s="913"/>
      <c r="M1468" s="913"/>
      <c r="N1468" s="913"/>
      <c r="O1468" s="913"/>
      <c r="P1468" s="913"/>
      <c r="Q1468" s="576"/>
      <c r="R1468" s="576"/>
      <c r="S1468" s="576"/>
      <c r="T1468" s="576"/>
      <c r="U1468" s="576"/>
      <c r="V1468" s="576"/>
      <c r="W1468" s="576"/>
      <c r="X1468" s="576"/>
      <c r="Y1468" s="576"/>
      <c r="Z1468" s="576"/>
    </row>
    <row r="1469" spans="1:26" ht="18.75">
      <c r="A1469" s="680"/>
      <c r="B1469" s="680"/>
      <c r="C1469" s="680"/>
      <c r="D1469" s="910"/>
      <c r="E1469" s="680"/>
      <c r="F1469" s="680"/>
      <c r="G1469" s="680"/>
      <c r="H1469" s="911"/>
      <c r="I1469" s="912"/>
      <c r="J1469" s="912"/>
      <c r="K1469" s="913"/>
      <c r="L1469" s="913"/>
      <c r="M1469" s="913"/>
      <c r="N1469" s="913"/>
      <c r="O1469" s="913"/>
      <c r="P1469" s="913"/>
      <c r="Q1469" s="576"/>
      <c r="R1469" s="576"/>
      <c r="S1469" s="576"/>
      <c r="T1469" s="576"/>
      <c r="U1469" s="576"/>
      <c r="V1469" s="576"/>
      <c r="W1469" s="576"/>
      <c r="X1469" s="576"/>
      <c r="Y1469" s="576"/>
      <c r="Z1469" s="576"/>
    </row>
    <row r="1470" spans="1:26" ht="18.75">
      <c r="A1470" s="680"/>
      <c r="B1470" s="680"/>
      <c r="C1470" s="680"/>
      <c r="D1470" s="910"/>
      <c r="E1470" s="680"/>
      <c r="F1470" s="680"/>
      <c r="G1470" s="680"/>
      <c r="H1470" s="911"/>
      <c r="I1470" s="912"/>
      <c r="J1470" s="912"/>
      <c r="K1470" s="913"/>
      <c r="L1470" s="913"/>
      <c r="M1470" s="913"/>
      <c r="N1470" s="913"/>
      <c r="O1470" s="913"/>
      <c r="P1470" s="913"/>
      <c r="Q1470" s="576"/>
      <c r="R1470" s="576"/>
      <c r="S1470" s="576"/>
      <c r="T1470" s="576"/>
      <c r="U1470" s="576"/>
      <c r="V1470" s="576"/>
      <c r="W1470" s="576"/>
      <c r="X1470" s="576"/>
      <c r="Y1470" s="576"/>
      <c r="Z1470" s="576"/>
    </row>
    <row r="1471" spans="1:26" ht="18.75">
      <c r="A1471" s="680"/>
      <c r="B1471" s="680"/>
      <c r="C1471" s="680"/>
      <c r="D1471" s="910"/>
      <c r="E1471" s="680"/>
      <c r="F1471" s="680"/>
      <c r="G1471" s="680"/>
      <c r="H1471" s="911"/>
      <c r="I1471" s="912"/>
      <c r="J1471" s="912"/>
      <c r="K1471" s="913"/>
      <c r="L1471" s="913"/>
      <c r="M1471" s="913"/>
      <c r="N1471" s="913"/>
      <c r="O1471" s="913"/>
      <c r="P1471" s="913"/>
      <c r="Q1471" s="576"/>
      <c r="R1471" s="576"/>
      <c r="S1471" s="576"/>
      <c r="T1471" s="576"/>
      <c r="U1471" s="576"/>
      <c r="V1471" s="576"/>
      <c r="W1471" s="576"/>
      <c r="X1471" s="576"/>
      <c r="Y1471" s="576"/>
      <c r="Z1471" s="576"/>
    </row>
    <row r="1472" spans="1:26" ht="18.75">
      <c r="A1472" s="680"/>
      <c r="B1472" s="680"/>
      <c r="C1472" s="680"/>
      <c r="D1472" s="910"/>
      <c r="E1472" s="680"/>
      <c r="F1472" s="680"/>
      <c r="G1472" s="680"/>
      <c r="H1472" s="911"/>
      <c r="I1472" s="912"/>
      <c r="J1472" s="912"/>
      <c r="K1472" s="913"/>
      <c r="L1472" s="913"/>
      <c r="M1472" s="913"/>
      <c r="N1472" s="913"/>
      <c r="O1472" s="913"/>
      <c r="P1472" s="913"/>
      <c r="Q1472" s="576"/>
      <c r="R1472" s="576"/>
      <c r="S1472" s="576"/>
      <c r="T1472" s="576"/>
      <c r="U1472" s="576"/>
      <c r="V1472" s="576"/>
      <c r="W1472" s="576"/>
      <c r="X1472" s="576"/>
      <c r="Y1472" s="576"/>
      <c r="Z1472" s="576"/>
    </row>
    <row r="1473" spans="1:26" ht="18.75">
      <c r="A1473" s="680"/>
      <c r="B1473" s="680"/>
      <c r="C1473" s="680"/>
      <c r="D1473" s="910"/>
      <c r="E1473" s="680"/>
      <c r="F1473" s="680"/>
      <c r="G1473" s="680"/>
      <c r="H1473" s="911"/>
      <c r="I1473" s="912"/>
      <c r="J1473" s="912"/>
      <c r="K1473" s="913"/>
      <c r="L1473" s="913"/>
      <c r="M1473" s="913"/>
      <c r="N1473" s="913"/>
      <c r="O1473" s="913"/>
      <c r="P1473" s="913"/>
      <c r="Q1473" s="576"/>
      <c r="R1473" s="576"/>
      <c r="S1473" s="576"/>
      <c r="T1473" s="576"/>
      <c r="U1473" s="576"/>
      <c r="V1473" s="576"/>
      <c r="W1473" s="576"/>
      <c r="X1473" s="576"/>
      <c r="Y1473" s="576"/>
      <c r="Z1473" s="576"/>
    </row>
    <row r="1474" spans="1:26" ht="18.75">
      <c r="A1474" s="680"/>
      <c r="B1474" s="680"/>
      <c r="C1474" s="680"/>
      <c r="D1474" s="910"/>
      <c r="E1474" s="680"/>
      <c r="F1474" s="680"/>
      <c r="G1474" s="680"/>
      <c r="H1474" s="911"/>
      <c r="I1474" s="912"/>
      <c r="J1474" s="912"/>
      <c r="K1474" s="913"/>
      <c r="L1474" s="913"/>
      <c r="M1474" s="913"/>
      <c r="N1474" s="913"/>
      <c r="O1474" s="913"/>
      <c r="P1474" s="913"/>
      <c r="Q1474" s="576"/>
      <c r="R1474" s="576"/>
      <c r="S1474" s="576"/>
      <c r="T1474" s="576"/>
      <c r="U1474" s="576"/>
      <c r="V1474" s="576"/>
      <c r="W1474" s="576"/>
      <c r="X1474" s="576"/>
      <c r="Y1474" s="576"/>
      <c r="Z1474" s="576"/>
    </row>
    <row r="1475" spans="1:26" ht="18.75">
      <c r="A1475" s="680"/>
      <c r="B1475" s="680"/>
      <c r="C1475" s="680"/>
      <c r="D1475" s="910"/>
      <c r="E1475" s="680"/>
      <c r="F1475" s="680"/>
      <c r="G1475" s="680"/>
      <c r="H1475" s="911"/>
      <c r="I1475" s="912"/>
      <c r="J1475" s="912"/>
      <c r="K1475" s="913"/>
      <c r="L1475" s="913"/>
      <c r="M1475" s="913"/>
      <c r="N1475" s="913"/>
      <c r="O1475" s="913"/>
      <c r="P1475" s="913"/>
      <c r="Q1475" s="576"/>
      <c r="R1475" s="576"/>
      <c r="S1475" s="576"/>
      <c r="T1475" s="576"/>
      <c r="U1475" s="576"/>
      <c r="V1475" s="576"/>
      <c r="W1475" s="576"/>
      <c r="X1475" s="576"/>
      <c r="Y1475" s="576"/>
      <c r="Z1475" s="576"/>
    </row>
    <row r="1476" spans="1:26" ht="18.75">
      <c r="A1476" s="680"/>
      <c r="B1476" s="680"/>
      <c r="C1476" s="680"/>
      <c r="D1476" s="910"/>
      <c r="E1476" s="680"/>
      <c r="F1476" s="680"/>
      <c r="G1476" s="680"/>
      <c r="H1476" s="911"/>
      <c r="I1476" s="912"/>
      <c r="J1476" s="912"/>
      <c r="K1476" s="913"/>
      <c r="L1476" s="913"/>
      <c r="M1476" s="913"/>
      <c r="N1476" s="913"/>
      <c r="O1476" s="913"/>
      <c r="P1476" s="913"/>
      <c r="Q1476" s="576"/>
      <c r="R1476" s="576"/>
      <c r="S1476" s="576"/>
      <c r="T1476" s="576"/>
      <c r="U1476" s="576"/>
      <c r="V1476" s="576"/>
      <c r="W1476" s="576"/>
      <c r="X1476" s="576"/>
      <c r="Y1476" s="576"/>
      <c r="Z1476" s="576"/>
    </row>
    <row r="1477" spans="1:26" ht="18.75">
      <c r="A1477" s="680"/>
      <c r="B1477" s="680"/>
      <c r="C1477" s="680"/>
      <c r="D1477" s="910"/>
      <c r="E1477" s="680"/>
      <c r="F1477" s="680"/>
      <c r="G1477" s="680"/>
      <c r="H1477" s="911"/>
      <c r="I1477" s="912"/>
      <c r="J1477" s="912"/>
      <c r="K1477" s="913"/>
      <c r="L1477" s="913"/>
      <c r="M1477" s="913"/>
      <c r="N1477" s="913"/>
      <c r="O1477" s="913"/>
      <c r="P1477" s="913"/>
      <c r="Q1477" s="576"/>
      <c r="R1477" s="576"/>
      <c r="S1477" s="576"/>
      <c r="T1477" s="576"/>
      <c r="U1477" s="576"/>
      <c r="V1477" s="576"/>
      <c r="W1477" s="576"/>
      <c r="X1477" s="576"/>
      <c r="Y1477" s="576"/>
      <c r="Z1477" s="576"/>
    </row>
    <row r="1478" spans="1:26" ht="18.75">
      <c r="A1478" s="680"/>
      <c r="B1478" s="680"/>
      <c r="C1478" s="680"/>
      <c r="D1478" s="910"/>
      <c r="E1478" s="680"/>
      <c r="F1478" s="680"/>
      <c r="G1478" s="680"/>
      <c r="H1478" s="911"/>
      <c r="I1478" s="912"/>
      <c r="J1478" s="912"/>
      <c r="K1478" s="913"/>
      <c r="L1478" s="913"/>
      <c r="M1478" s="913"/>
      <c r="N1478" s="913"/>
      <c r="O1478" s="913"/>
      <c r="P1478" s="913"/>
      <c r="Q1478" s="576"/>
      <c r="R1478" s="576"/>
      <c r="S1478" s="576"/>
      <c r="T1478" s="576"/>
      <c r="U1478" s="576"/>
      <c r="V1478" s="576"/>
      <c r="W1478" s="576"/>
      <c r="X1478" s="576"/>
      <c r="Y1478" s="576"/>
      <c r="Z1478" s="576"/>
    </row>
    <row r="1479" spans="1:26" ht="18.75">
      <c r="A1479" s="680"/>
      <c r="B1479" s="680"/>
      <c r="C1479" s="680"/>
      <c r="D1479" s="910"/>
      <c r="E1479" s="680"/>
      <c r="F1479" s="680"/>
      <c r="G1479" s="680"/>
      <c r="H1479" s="911"/>
      <c r="I1479" s="912"/>
      <c r="J1479" s="912"/>
      <c r="K1479" s="913"/>
      <c r="L1479" s="913"/>
      <c r="M1479" s="913"/>
      <c r="N1479" s="913"/>
      <c r="O1479" s="913"/>
      <c r="P1479" s="913"/>
      <c r="Q1479" s="576"/>
      <c r="R1479" s="576"/>
      <c r="S1479" s="576"/>
      <c r="T1479" s="576"/>
      <c r="U1479" s="576"/>
      <c r="V1479" s="576"/>
      <c r="W1479" s="576"/>
      <c r="X1479" s="576"/>
      <c r="Y1479" s="576"/>
      <c r="Z1479" s="576"/>
    </row>
    <row r="1480" spans="1:26" ht="18.75">
      <c r="A1480" s="680"/>
      <c r="B1480" s="680"/>
      <c r="C1480" s="680"/>
      <c r="D1480" s="910"/>
      <c r="E1480" s="680"/>
      <c r="F1480" s="680"/>
      <c r="G1480" s="680"/>
      <c r="H1480" s="911"/>
      <c r="I1480" s="912"/>
      <c r="J1480" s="912"/>
      <c r="K1480" s="913"/>
      <c r="L1480" s="913"/>
      <c r="M1480" s="913"/>
      <c r="N1480" s="913"/>
      <c r="O1480" s="913"/>
      <c r="P1480" s="913"/>
      <c r="Q1480" s="576"/>
      <c r="R1480" s="576"/>
      <c r="S1480" s="576"/>
      <c r="T1480" s="576"/>
      <c r="U1480" s="576"/>
      <c r="V1480" s="576"/>
      <c r="W1480" s="576"/>
      <c r="X1480" s="576"/>
      <c r="Y1480" s="576"/>
      <c r="Z1480" s="576"/>
    </row>
    <row r="1481" spans="1:26" ht="18.75">
      <c r="A1481" s="680"/>
      <c r="B1481" s="680"/>
      <c r="C1481" s="680"/>
      <c r="D1481" s="910"/>
      <c r="E1481" s="680"/>
      <c r="F1481" s="680"/>
      <c r="G1481" s="680"/>
      <c r="H1481" s="911"/>
      <c r="I1481" s="912"/>
      <c r="J1481" s="912"/>
      <c r="K1481" s="913"/>
      <c r="L1481" s="913"/>
      <c r="M1481" s="913"/>
      <c r="N1481" s="913"/>
      <c r="O1481" s="913"/>
      <c r="P1481" s="913"/>
      <c r="Q1481" s="576"/>
      <c r="R1481" s="576"/>
      <c r="S1481" s="576"/>
      <c r="T1481" s="576"/>
      <c r="U1481" s="576"/>
      <c r="V1481" s="576"/>
      <c r="W1481" s="576"/>
      <c r="X1481" s="576"/>
      <c r="Y1481" s="576"/>
      <c r="Z1481" s="576"/>
    </row>
    <row r="1482" spans="1:26" ht="18.75">
      <c r="A1482" s="680"/>
      <c r="B1482" s="680"/>
      <c r="C1482" s="680"/>
      <c r="D1482" s="910"/>
      <c r="E1482" s="680"/>
      <c r="F1482" s="680"/>
      <c r="G1482" s="680"/>
      <c r="H1482" s="911"/>
      <c r="I1482" s="912"/>
      <c r="J1482" s="912"/>
      <c r="K1482" s="913"/>
      <c r="L1482" s="913"/>
      <c r="M1482" s="913"/>
      <c r="N1482" s="913"/>
      <c r="O1482" s="913"/>
      <c r="P1482" s="913"/>
      <c r="Q1482" s="576"/>
      <c r="R1482" s="576"/>
      <c r="S1482" s="576"/>
      <c r="T1482" s="576"/>
      <c r="U1482" s="576"/>
      <c r="V1482" s="576"/>
      <c r="W1482" s="576"/>
      <c r="X1482" s="576"/>
      <c r="Y1482" s="576"/>
      <c r="Z1482" s="576"/>
    </row>
    <row r="1483" spans="1:26" ht="18.75">
      <c r="A1483" s="680"/>
      <c r="B1483" s="680"/>
      <c r="C1483" s="680"/>
      <c r="D1483" s="910"/>
      <c r="E1483" s="680"/>
      <c r="F1483" s="680"/>
      <c r="G1483" s="680"/>
      <c r="H1483" s="911"/>
      <c r="I1483" s="912"/>
      <c r="J1483" s="912"/>
      <c r="K1483" s="913"/>
      <c r="L1483" s="913"/>
      <c r="M1483" s="913"/>
      <c r="N1483" s="913"/>
      <c r="O1483" s="913"/>
      <c r="P1483" s="913"/>
      <c r="Q1483" s="576"/>
      <c r="R1483" s="576"/>
      <c r="S1483" s="576"/>
      <c r="T1483" s="576"/>
      <c r="U1483" s="576"/>
      <c r="V1483" s="576"/>
      <c r="W1483" s="576"/>
      <c r="X1483" s="576"/>
      <c r="Y1483" s="576"/>
      <c r="Z1483" s="576"/>
    </row>
    <row r="1484" spans="1:26" ht="18.75">
      <c r="A1484" s="680"/>
      <c r="B1484" s="680"/>
      <c r="C1484" s="680"/>
      <c r="D1484" s="910"/>
      <c r="E1484" s="680"/>
      <c r="F1484" s="680"/>
      <c r="G1484" s="680"/>
      <c r="H1484" s="911"/>
      <c r="I1484" s="912"/>
      <c r="J1484" s="912"/>
      <c r="K1484" s="913"/>
      <c r="L1484" s="913"/>
      <c r="M1484" s="913"/>
      <c r="N1484" s="913"/>
      <c r="O1484" s="913"/>
      <c r="P1484" s="913"/>
      <c r="Q1484" s="576"/>
      <c r="R1484" s="576"/>
      <c r="S1484" s="576"/>
      <c r="T1484" s="576"/>
      <c r="U1484" s="576"/>
      <c r="V1484" s="576"/>
      <c r="W1484" s="576"/>
      <c r="X1484" s="576"/>
      <c r="Y1484" s="576"/>
      <c r="Z1484" s="576"/>
    </row>
    <row r="1485" spans="1:26" ht="18.75">
      <c r="A1485" s="680"/>
      <c r="B1485" s="680"/>
      <c r="C1485" s="680"/>
      <c r="D1485" s="910"/>
      <c r="E1485" s="680"/>
      <c r="F1485" s="680"/>
      <c r="G1485" s="680"/>
      <c r="H1485" s="911"/>
      <c r="I1485" s="912"/>
      <c r="J1485" s="912"/>
      <c r="K1485" s="913"/>
      <c r="L1485" s="913"/>
      <c r="M1485" s="913"/>
      <c r="N1485" s="913"/>
      <c r="O1485" s="913"/>
      <c r="P1485" s="913"/>
      <c r="Q1485" s="576"/>
      <c r="R1485" s="576"/>
      <c r="S1485" s="576"/>
      <c r="T1485" s="576"/>
      <c r="U1485" s="576"/>
      <c r="V1485" s="576"/>
      <c r="W1485" s="576"/>
      <c r="X1485" s="576"/>
      <c r="Y1485" s="576"/>
      <c r="Z1485" s="576"/>
    </row>
    <row r="1486" spans="1:26" ht="18.75">
      <c r="A1486" s="680"/>
      <c r="B1486" s="680"/>
      <c r="C1486" s="680"/>
      <c r="D1486" s="910"/>
      <c r="E1486" s="680"/>
      <c r="F1486" s="680"/>
      <c r="G1486" s="680"/>
      <c r="H1486" s="911"/>
      <c r="I1486" s="912"/>
      <c r="J1486" s="912"/>
      <c r="K1486" s="913"/>
      <c r="L1486" s="913"/>
      <c r="M1486" s="913"/>
      <c r="N1486" s="913"/>
      <c r="O1486" s="913"/>
      <c r="P1486" s="913"/>
      <c r="Q1486" s="576"/>
      <c r="R1486" s="576"/>
      <c r="S1486" s="576"/>
      <c r="T1486" s="576"/>
      <c r="U1486" s="576"/>
      <c r="V1486" s="576"/>
      <c r="W1486" s="576"/>
      <c r="X1486" s="576"/>
      <c r="Y1486" s="576"/>
      <c r="Z1486" s="576"/>
    </row>
    <row r="1487" spans="1:26" ht="18.75">
      <c r="A1487" s="680"/>
      <c r="B1487" s="680"/>
      <c r="C1487" s="680"/>
      <c r="D1487" s="910"/>
      <c r="E1487" s="680"/>
      <c r="F1487" s="680"/>
      <c r="G1487" s="680"/>
      <c r="H1487" s="911"/>
      <c r="I1487" s="912"/>
      <c r="J1487" s="912"/>
      <c r="K1487" s="913"/>
      <c r="L1487" s="913"/>
      <c r="M1487" s="913"/>
      <c r="N1487" s="913"/>
      <c r="O1487" s="913"/>
      <c r="P1487" s="913"/>
      <c r="Q1487" s="576"/>
      <c r="R1487" s="576"/>
      <c r="S1487" s="576"/>
      <c r="T1487" s="576"/>
      <c r="U1487" s="576"/>
      <c r="V1487" s="576"/>
      <c r="W1487" s="576"/>
      <c r="X1487" s="576"/>
      <c r="Y1487" s="576"/>
      <c r="Z1487" s="576"/>
    </row>
    <row r="1488" spans="1:26" ht="18.75">
      <c r="A1488" s="680"/>
      <c r="B1488" s="680"/>
      <c r="C1488" s="680"/>
      <c r="D1488" s="910"/>
      <c r="E1488" s="680"/>
      <c r="F1488" s="680"/>
      <c r="G1488" s="680"/>
      <c r="H1488" s="911"/>
      <c r="I1488" s="912"/>
      <c r="J1488" s="912"/>
      <c r="K1488" s="913"/>
      <c r="L1488" s="913"/>
      <c r="M1488" s="913"/>
      <c r="N1488" s="913"/>
      <c r="O1488" s="913"/>
      <c r="P1488" s="913"/>
      <c r="Q1488" s="576"/>
      <c r="R1488" s="576"/>
      <c r="S1488" s="576"/>
      <c r="T1488" s="576"/>
      <c r="U1488" s="576"/>
      <c r="V1488" s="576"/>
      <c r="W1488" s="576"/>
      <c r="X1488" s="576"/>
      <c r="Y1488" s="576"/>
      <c r="Z1488" s="576"/>
    </row>
    <row r="1489" spans="1:26" ht="18.75">
      <c r="A1489" s="680"/>
      <c r="B1489" s="680"/>
      <c r="C1489" s="680"/>
      <c r="D1489" s="910"/>
      <c r="E1489" s="680"/>
      <c r="F1489" s="680"/>
      <c r="G1489" s="680"/>
      <c r="H1489" s="911"/>
      <c r="I1489" s="912"/>
      <c r="J1489" s="912"/>
      <c r="K1489" s="913"/>
      <c r="L1489" s="913"/>
      <c r="M1489" s="913"/>
      <c r="N1489" s="913"/>
      <c r="O1489" s="913"/>
      <c r="P1489" s="913"/>
      <c r="Q1489" s="576"/>
      <c r="R1489" s="576"/>
      <c r="S1489" s="576"/>
      <c r="T1489" s="576"/>
      <c r="U1489" s="576"/>
      <c r="V1489" s="576"/>
      <c r="W1489" s="576"/>
      <c r="X1489" s="576"/>
      <c r="Y1489" s="576"/>
      <c r="Z1489" s="576"/>
    </row>
    <row r="1490" spans="1:26" ht="18.75">
      <c r="A1490" s="680"/>
      <c r="B1490" s="680"/>
      <c r="C1490" s="680"/>
      <c r="D1490" s="910"/>
      <c r="E1490" s="680"/>
      <c r="F1490" s="680"/>
      <c r="G1490" s="680"/>
      <c r="H1490" s="911"/>
      <c r="I1490" s="912"/>
      <c r="J1490" s="912"/>
      <c r="K1490" s="913"/>
      <c r="L1490" s="913"/>
      <c r="M1490" s="913"/>
      <c r="N1490" s="913"/>
      <c r="O1490" s="913"/>
      <c r="P1490" s="913"/>
      <c r="Q1490" s="576"/>
      <c r="R1490" s="576"/>
      <c r="S1490" s="576"/>
      <c r="T1490" s="576"/>
      <c r="U1490" s="576"/>
      <c r="V1490" s="576"/>
      <c r="W1490" s="576"/>
      <c r="X1490" s="576"/>
      <c r="Y1490" s="576"/>
      <c r="Z1490" s="576"/>
    </row>
    <row r="1491" spans="1:26" ht="18.75">
      <c r="A1491" s="680"/>
      <c r="B1491" s="680"/>
      <c r="C1491" s="680"/>
      <c r="D1491" s="910"/>
      <c r="E1491" s="680"/>
      <c r="F1491" s="680"/>
      <c r="G1491" s="680"/>
      <c r="H1491" s="911"/>
      <c r="I1491" s="912"/>
      <c r="J1491" s="912"/>
      <c r="K1491" s="913"/>
      <c r="L1491" s="913"/>
      <c r="M1491" s="913"/>
      <c r="N1491" s="913"/>
      <c r="O1491" s="913"/>
      <c r="P1491" s="913"/>
      <c r="Q1491" s="576"/>
      <c r="R1491" s="576"/>
      <c r="S1491" s="576"/>
      <c r="T1491" s="576"/>
      <c r="U1491" s="576"/>
      <c r="V1491" s="576"/>
      <c r="W1491" s="576"/>
      <c r="X1491" s="576"/>
      <c r="Y1491" s="576"/>
      <c r="Z1491" s="576"/>
    </row>
    <row r="1492" spans="1:26" ht="18.75">
      <c r="A1492" s="680"/>
      <c r="B1492" s="680"/>
      <c r="C1492" s="680"/>
      <c r="D1492" s="910"/>
      <c r="E1492" s="680"/>
      <c r="F1492" s="680"/>
      <c r="G1492" s="680"/>
      <c r="H1492" s="911"/>
      <c r="I1492" s="912"/>
      <c r="J1492" s="912"/>
      <c r="K1492" s="913"/>
      <c r="L1492" s="913"/>
      <c r="M1492" s="913"/>
      <c r="N1492" s="913"/>
      <c r="O1492" s="913"/>
      <c r="P1492" s="913"/>
      <c r="Q1492" s="576"/>
      <c r="R1492" s="576"/>
      <c r="S1492" s="576"/>
      <c r="T1492" s="576"/>
      <c r="U1492" s="576"/>
      <c r="V1492" s="576"/>
      <c r="W1492" s="576"/>
      <c r="X1492" s="576"/>
      <c r="Y1492" s="576"/>
      <c r="Z1492" s="576"/>
    </row>
    <row r="1493" spans="1:26" ht="18.75">
      <c r="A1493" s="680"/>
      <c r="B1493" s="680"/>
      <c r="C1493" s="680"/>
      <c r="D1493" s="910"/>
      <c r="E1493" s="680"/>
      <c r="F1493" s="680"/>
      <c r="G1493" s="680"/>
      <c r="H1493" s="911"/>
      <c r="I1493" s="912"/>
      <c r="J1493" s="912"/>
      <c r="K1493" s="913"/>
      <c r="L1493" s="913"/>
      <c r="M1493" s="913"/>
      <c r="N1493" s="913"/>
      <c r="O1493" s="913"/>
      <c r="P1493" s="913"/>
      <c r="Q1493" s="576"/>
      <c r="R1493" s="576"/>
      <c r="S1493" s="576"/>
      <c r="T1493" s="576"/>
      <c r="U1493" s="576"/>
      <c r="V1493" s="576"/>
      <c r="W1493" s="576"/>
      <c r="X1493" s="576"/>
      <c r="Y1493" s="576"/>
      <c r="Z1493" s="576"/>
    </row>
    <row r="1494" spans="1:26" ht="18.75">
      <c r="A1494" s="680"/>
      <c r="B1494" s="680"/>
      <c r="C1494" s="680"/>
      <c r="D1494" s="910"/>
      <c r="E1494" s="680"/>
      <c r="F1494" s="680"/>
      <c r="G1494" s="680"/>
      <c r="H1494" s="911"/>
      <c r="I1494" s="912"/>
      <c r="J1494" s="912"/>
      <c r="K1494" s="913"/>
      <c r="L1494" s="913"/>
      <c r="M1494" s="913"/>
      <c r="N1494" s="913"/>
      <c r="O1494" s="913"/>
      <c r="P1494" s="913"/>
      <c r="Q1494" s="576"/>
      <c r="R1494" s="576"/>
      <c r="S1494" s="576"/>
      <c r="T1494" s="576"/>
      <c r="U1494" s="576"/>
      <c r="V1494" s="576"/>
      <c r="W1494" s="576"/>
      <c r="X1494" s="576"/>
      <c r="Y1494" s="576"/>
      <c r="Z1494" s="576"/>
    </row>
    <row r="1495" spans="1:26" ht="18.75">
      <c r="A1495" s="680"/>
      <c r="B1495" s="680"/>
      <c r="C1495" s="680"/>
      <c r="D1495" s="910"/>
      <c r="E1495" s="680"/>
      <c r="F1495" s="680"/>
      <c r="G1495" s="680"/>
      <c r="H1495" s="911"/>
      <c r="I1495" s="912"/>
      <c r="J1495" s="912"/>
      <c r="K1495" s="913"/>
      <c r="L1495" s="913"/>
      <c r="M1495" s="913"/>
      <c r="N1495" s="913"/>
      <c r="O1495" s="913"/>
      <c r="P1495" s="913"/>
      <c r="Q1495" s="576"/>
      <c r="R1495" s="576"/>
      <c r="S1495" s="576"/>
      <c r="T1495" s="576"/>
      <c r="U1495" s="576"/>
      <c r="V1495" s="576"/>
      <c r="W1495" s="576"/>
      <c r="X1495" s="576"/>
      <c r="Y1495" s="576"/>
      <c r="Z1495" s="576"/>
    </row>
    <row r="1496" spans="1:26" ht="18.75">
      <c r="A1496" s="680"/>
      <c r="B1496" s="680"/>
      <c r="C1496" s="680"/>
      <c r="D1496" s="910"/>
      <c r="E1496" s="680"/>
      <c r="F1496" s="680"/>
      <c r="G1496" s="680"/>
      <c r="H1496" s="911"/>
      <c r="I1496" s="912"/>
      <c r="J1496" s="912"/>
      <c r="K1496" s="913"/>
      <c r="L1496" s="913"/>
      <c r="M1496" s="913"/>
      <c r="N1496" s="913"/>
      <c r="O1496" s="913"/>
      <c r="P1496" s="913"/>
      <c r="Q1496" s="576"/>
      <c r="R1496" s="576"/>
      <c r="S1496" s="576"/>
      <c r="T1496" s="576"/>
      <c r="U1496" s="576"/>
      <c r="V1496" s="576"/>
      <c r="W1496" s="576"/>
      <c r="X1496" s="576"/>
      <c r="Y1496" s="576"/>
      <c r="Z1496" s="576"/>
    </row>
    <row r="1497" spans="1:26" ht="18.75">
      <c r="A1497" s="680"/>
      <c r="B1497" s="680"/>
      <c r="C1497" s="680"/>
      <c r="D1497" s="910"/>
      <c r="E1497" s="680"/>
      <c r="F1497" s="680"/>
      <c r="G1497" s="680"/>
      <c r="H1497" s="911"/>
      <c r="I1497" s="912"/>
      <c r="J1497" s="912"/>
      <c r="K1497" s="913"/>
      <c r="L1497" s="913"/>
      <c r="M1497" s="913"/>
      <c r="N1497" s="913"/>
      <c r="O1497" s="913"/>
      <c r="P1497" s="913"/>
      <c r="Q1497" s="576"/>
      <c r="R1497" s="576"/>
      <c r="S1497" s="576"/>
      <c r="T1497" s="576"/>
      <c r="U1497" s="576"/>
      <c r="V1497" s="576"/>
      <c r="W1497" s="576"/>
      <c r="X1497" s="576"/>
      <c r="Y1497" s="576"/>
      <c r="Z1497" s="576"/>
    </row>
    <row r="1498" spans="1:26" ht="18.75">
      <c r="A1498" s="680"/>
      <c r="B1498" s="680"/>
      <c r="C1498" s="680"/>
      <c r="D1498" s="910"/>
      <c r="E1498" s="680"/>
      <c r="F1498" s="680"/>
      <c r="G1498" s="680"/>
      <c r="H1498" s="911"/>
      <c r="I1498" s="912"/>
      <c r="J1498" s="912"/>
      <c r="K1498" s="913"/>
      <c r="L1498" s="913"/>
      <c r="M1498" s="913"/>
      <c r="N1498" s="913"/>
      <c r="O1498" s="913"/>
      <c r="P1498" s="913"/>
      <c r="Q1498" s="576"/>
      <c r="R1498" s="576"/>
      <c r="S1498" s="576"/>
      <c r="T1498" s="576"/>
      <c r="U1498" s="576"/>
      <c r="V1498" s="576"/>
      <c r="W1498" s="576"/>
      <c r="X1498" s="576"/>
      <c r="Y1498" s="576"/>
      <c r="Z1498" s="576"/>
    </row>
    <row r="1499" spans="1:26" ht="18.75">
      <c r="A1499" s="680"/>
      <c r="B1499" s="680"/>
      <c r="C1499" s="680"/>
      <c r="D1499" s="910"/>
      <c r="E1499" s="680"/>
      <c r="F1499" s="680"/>
      <c r="G1499" s="680"/>
      <c r="H1499" s="911"/>
      <c r="I1499" s="912"/>
      <c r="J1499" s="912"/>
      <c r="K1499" s="913"/>
      <c r="L1499" s="913"/>
      <c r="M1499" s="913"/>
      <c r="N1499" s="913"/>
      <c r="O1499" s="913"/>
      <c r="P1499" s="913"/>
      <c r="Q1499" s="576"/>
      <c r="R1499" s="576"/>
      <c r="S1499" s="576"/>
      <c r="T1499" s="576"/>
      <c r="U1499" s="576"/>
      <c r="V1499" s="576"/>
      <c r="W1499" s="576"/>
      <c r="X1499" s="576"/>
      <c r="Y1499" s="576"/>
      <c r="Z1499" s="576"/>
    </row>
    <row r="1500" spans="1:26" ht="18.75">
      <c r="A1500" s="680"/>
      <c r="B1500" s="680"/>
      <c r="C1500" s="680"/>
      <c r="D1500" s="910"/>
      <c r="E1500" s="680"/>
      <c r="F1500" s="680"/>
      <c r="G1500" s="680"/>
      <c r="H1500" s="911"/>
      <c r="I1500" s="912"/>
      <c r="J1500" s="912"/>
      <c r="K1500" s="913"/>
      <c r="L1500" s="913"/>
      <c r="M1500" s="913"/>
      <c r="N1500" s="913"/>
      <c r="O1500" s="913"/>
      <c r="P1500" s="913"/>
      <c r="Q1500" s="576"/>
      <c r="R1500" s="576"/>
      <c r="S1500" s="576"/>
      <c r="T1500" s="576"/>
      <c r="U1500" s="576"/>
      <c r="V1500" s="576"/>
      <c r="W1500" s="576"/>
      <c r="X1500" s="576"/>
      <c r="Y1500" s="576"/>
      <c r="Z1500" s="576"/>
    </row>
    <row r="1501" spans="1:26" ht="18.75">
      <c r="A1501" s="680"/>
      <c r="B1501" s="680"/>
      <c r="C1501" s="680"/>
      <c r="D1501" s="910"/>
      <c r="E1501" s="680"/>
      <c r="F1501" s="680"/>
      <c r="G1501" s="680"/>
      <c r="H1501" s="911"/>
      <c r="I1501" s="912"/>
      <c r="J1501" s="912"/>
      <c r="K1501" s="913"/>
      <c r="L1501" s="913"/>
      <c r="M1501" s="913"/>
      <c r="N1501" s="913"/>
      <c r="O1501" s="913"/>
      <c r="P1501" s="913"/>
      <c r="Q1501" s="576"/>
      <c r="R1501" s="576"/>
      <c r="S1501" s="576"/>
      <c r="T1501" s="576"/>
      <c r="U1501" s="576"/>
      <c r="V1501" s="576"/>
      <c r="W1501" s="576"/>
      <c r="X1501" s="576"/>
      <c r="Y1501" s="576"/>
      <c r="Z1501" s="576"/>
    </row>
    <row r="1502" spans="1:26" ht="18.75">
      <c r="A1502" s="680"/>
      <c r="B1502" s="680"/>
      <c r="C1502" s="680"/>
      <c r="D1502" s="910"/>
      <c r="E1502" s="680"/>
      <c r="F1502" s="680"/>
      <c r="G1502" s="680"/>
      <c r="H1502" s="911"/>
      <c r="I1502" s="912"/>
      <c r="J1502" s="912"/>
      <c r="K1502" s="913"/>
      <c r="L1502" s="913"/>
      <c r="M1502" s="913"/>
      <c r="N1502" s="913"/>
      <c r="O1502" s="913"/>
      <c r="P1502" s="913"/>
      <c r="Q1502" s="576"/>
      <c r="R1502" s="576"/>
      <c r="S1502" s="576"/>
      <c r="T1502" s="576"/>
      <c r="U1502" s="576"/>
      <c r="V1502" s="576"/>
      <c r="W1502" s="576"/>
      <c r="X1502" s="576"/>
      <c r="Y1502" s="576"/>
      <c r="Z1502" s="576"/>
    </row>
    <row r="1503" spans="1:26" ht="18.75">
      <c r="A1503" s="680"/>
      <c r="B1503" s="680"/>
      <c r="C1503" s="680"/>
      <c r="D1503" s="910"/>
      <c r="E1503" s="680"/>
      <c r="F1503" s="680"/>
      <c r="G1503" s="680"/>
      <c r="H1503" s="911"/>
      <c r="I1503" s="912"/>
      <c r="J1503" s="912"/>
      <c r="K1503" s="913"/>
      <c r="L1503" s="913"/>
      <c r="M1503" s="913"/>
      <c r="N1503" s="913"/>
      <c r="O1503" s="913"/>
      <c r="P1503" s="913"/>
      <c r="Q1503" s="576"/>
      <c r="R1503" s="576"/>
      <c r="S1503" s="576"/>
      <c r="T1503" s="576"/>
      <c r="U1503" s="576"/>
      <c r="V1503" s="576"/>
      <c r="W1503" s="576"/>
      <c r="X1503" s="576"/>
      <c r="Y1503" s="576"/>
      <c r="Z1503" s="576"/>
    </row>
    <row r="1504" spans="1:26" ht="18.75">
      <c r="A1504" s="680"/>
      <c r="B1504" s="680"/>
      <c r="C1504" s="680"/>
      <c r="D1504" s="910"/>
      <c r="E1504" s="680"/>
      <c r="F1504" s="680"/>
      <c r="G1504" s="680"/>
      <c r="H1504" s="911"/>
      <c r="I1504" s="912"/>
      <c r="J1504" s="912"/>
      <c r="K1504" s="913"/>
      <c r="L1504" s="913"/>
      <c r="M1504" s="913"/>
      <c r="N1504" s="913"/>
      <c r="O1504" s="913"/>
      <c r="P1504" s="913"/>
      <c r="Q1504" s="576"/>
      <c r="R1504" s="576"/>
      <c r="S1504" s="576"/>
      <c r="T1504" s="576"/>
      <c r="U1504" s="576"/>
      <c r="V1504" s="576"/>
      <c r="W1504" s="576"/>
      <c r="X1504" s="576"/>
      <c r="Y1504" s="576"/>
      <c r="Z1504" s="576"/>
    </row>
    <row r="1505" spans="1:26" ht="18.75">
      <c r="A1505" s="680"/>
      <c r="B1505" s="680"/>
      <c r="C1505" s="680"/>
      <c r="D1505" s="910"/>
      <c r="E1505" s="680"/>
      <c r="F1505" s="680"/>
      <c r="G1505" s="680"/>
      <c r="H1505" s="911"/>
      <c r="I1505" s="912"/>
      <c r="J1505" s="912"/>
      <c r="K1505" s="913"/>
      <c r="L1505" s="913"/>
      <c r="M1505" s="913"/>
      <c r="N1505" s="913"/>
      <c r="O1505" s="913"/>
      <c r="P1505" s="913"/>
      <c r="Q1505" s="576"/>
      <c r="R1505" s="576"/>
      <c r="S1505" s="576"/>
      <c r="T1505" s="576"/>
      <c r="U1505" s="576"/>
      <c r="V1505" s="576"/>
      <c r="W1505" s="576"/>
      <c r="X1505" s="576"/>
      <c r="Y1505" s="576"/>
      <c r="Z1505" s="576"/>
    </row>
    <row r="1506" spans="1:26" ht="18.75">
      <c r="A1506" s="680"/>
      <c r="B1506" s="680"/>
      <c r="C1506" s="680"/>
      <c r="D1506" s="910"/>
      <c r="E1506" s="680"/>
      <c r="F1506" s="680"/>
      <c r="G1506" s="680"/>
      <c r="H1506" s="911"/>
      <c r="I1506" s="912"/>
      <c r="J1506" s="912"/>
      <c r="K1506" s="913"/>
      <c r="L1506" s="913"/>
      <c r="M1506" s="913"/>
      <c r="N1506" s="913"/>
      <c r="O1506" s="913"/>
      <c r="P1506" s="913"/>
      <c r="Q1506" s="576"/>
      <c r="R1506" s="576"/>
      <c r="S1506" s="576"/>
      <c r="T1506" s="576"/>
      <c r="U1506" s="576"/>
      <c r="V1506" s="576"/>
      <c r="W1506" s="576"/>
      <c r="X1506" s="576"/>
      <c r="Y1506" s="576"/>
      <c r="Z1506" s="576"/>
    </row>
    <row r="1507" spans="1:26" ht="18.75">
      <c r="A1507" s="680"/>
      <c r="B1507" s="680"/>
      <c r="C1507" s="680"/>
      <c r="D1507" s="910"/>
      <c r="E1507" s="680"/>
      <c r="F1507" s="680"/>
      <c r="G1507" s="680"/>
      <c r="H1507" s="911"/>
      <c r="I1507" s="912"/>
      <c r="J1507" s="912"/>
      <c r="K1507" s="913"/>
      <c r="L1507" s="913"/>
      <c r="M1507" s="913"/>
      <c r="N1507" s="913"/>
      <c r="O1507" s="913"/>
      <c r="P1507" s="913"/>
      <c r="Q1507" s="576"/>
      <c r="R1507" s="576"/>
      <c r="S1507" s="576"/>
      <c r="T1507" s="576"/>
      <c r="U1507" s="576"/>
      <c r="V1507" s="576"/>
      <c r="W1507" s="576"/>
      <c r="X1507" s="576"/>
      <c r="Y1507" s="576"/>
      <c r="Z1507" s="576"/>
    </row>
    <row r="1508" spans="1:26" ht="18.75">
      <c r="A1508" s="680"/>
      <c r="B1508" s="680"/>
      <c r="C1508" s="680"/>
      <c r="D1508" s="910"/>
      <c r="E1508" s="680"/>
      <c r="F1508" s="680"/>
      <c r="G1508" s="680"/>
      <c r="H1508" s="911"/>
      <c r="I1508" s="912"/>
      <c r="J1508" s="912"/>
      <c r="K1508" s="913"/>
      <c r="L1508" s="913"/>
      <c r="M1508" s="913"/>
      <c r="N1508" s="913"/>
      <c r="O1508" s="913"/>
      <c r="P1508" s="913"/>
      <c r="Q1508" s="576"/>
      <c r="R1508" s="576"/>
      <c r="S1508" s="576"/>
      <c r="T1508" s="576"/>
      <c r="U1508" s="576"/>
      <c r="V1508" s="576"/>
      <c r="W1508" s="576"/>
      <c r="X1508" s="576"/>
      <c r="Y1508" s="576"/>
      <c r="Z1508" s="576"/>
    </row>
    <row r="1509" spans="1:26" ht="18.75">
      <c r="A1509" s="680"/>
      <c r="B1509" s="680"/>
      <c r="C1509" s="680"/>
      <c r="D1509" s="910"/>
      <c r="E1509" s="680"/>
      <c r="F1509" s="680"/>
      <c r="G1509" s="680"/>
      <c r="H1509" s="911"/>
      <c r="I1509" s="912"/>
      <c r="J1509" s="912"/>
      <c r="K1509" s="913"/>
      <c r="L1509" s="913"/>
      <c r="M1509" s="913"/>
      <c r="N1509" s="913"/>
      <c r="O1509" s="913"/>
      <c r="P1509" s="913"/>
      <c r="Q1509" s="576"/>
      <c r="R1509" s="576"/>
      <c r="S1509" s="576"/>
      <c r="T1509" s="576"/>
      <c r="U1509" s="576"/>
      <c r="V1509" s="576"/>
      <c r="W1509" s="576"/>
      <c r="X1509" s="576"/>
      <c r="Y1509" s="576"/>
      <c r="Z1509" s="576"/>
    </row>
    <row r="1510" spans="1:26" ht="18.75">
      <c r="A1510" s="680"/>
      <c r="B1510" s="680"/>
      <c r="C1510" s="680"/>
      <c r="D1510" s="910"/>
      <c r="E1510" s="680"/>
      <c r="F1510" s="680"/>
      <c r="G1510" s="680"/>
      <c r="H1510" s="911"/>
      <c r="I1510" s="912"/>
      <c r="J1510" s="912"/>
      <c r="K1510" s="913"/>
      <c r="L1510" s="913"/>
      <c r="M1510" s="913"/>
      <c r="N1510" s="913"/>
      <c r="O1510" s="913"/>
      <c r="P1510" s="913"/>
      <c r="Q1510" s="576"/>
      <c r="R1510" s="576"/>
      <c r="S1510" s="576"/>
      <c r="T1510" s="576"/>
      <c r="U1510" s="576"/>
      <c r="V1510" s="576"/>
      <c r="W1510" s="576"/>
      <c r="X1510" s="576"/>
      <c r="Y1510" s="576"/>
      <c r="Z1510" s="576"/>
    </row>
    <row r="1511" spans="1:26" ht="18.75">
      <c r="A1511" s="680"/>
      <c r="B1511" s="680"/>
      <c r="C1511" s="680"/>
      <c r="D1511" s="910"/>
      <c r="E1511" s="680"/>
      <c r="F1511" s="680"/>
      <c r="G1511" s="680"/>
      <c r="H1511" s="911"/>
      <c r="I1511" s="912"/>
      <c r="J1511" s="912"/>
      <c r="K1511" s="913"/>
      <c r="L1511" s="913"/>
      <c r="M1511" s="913"/>
      <c r="N1511" s="913"/>
      <c r="O1511" s="913"/>
      <c r="P1511" s="913"/>
      <c r="Q1511" s="576"/>
      <c r="R1511" s="576"/>
      <c r="S1511" s="576"/>
      <c r="T1511" s="576"/>
      <c r="U1511" s="576"/>
      <c r="V1511" s="576"/>
      <c r="W1511" s="576"/>
      <c r="X1511" s="576"/>
      <c r="Y1511" s="576"/>
      <c r="Z1511" s="576"/>
    </row>
    <row r="1512" spans="1:26" ht="18.75">
      <c r="A1512" s="680"/>
      <c r="B1512" s="680"/>
      <c r="C1512" s="680"/>
      <c r="D1512" s="910"/>
      <c r="E1512" s="680"/>
      <c r="F1512" s="680"/>
      <c r="G1512" s="680"/>
      <c r="H1512" s="911"/>
      <c r="I1512" s="912"/>
      <c r="J1512" s="912"/>
      <c r="K1512" s="913"/>
      <c r="L1512" s="913"/>
      <c r="M1512" s="913"/>
      <c r="N1512" s="913"/>
      <c r="O1512" s="913"/>
      <c r="P1512" s="913"/>
      <c r="Q1512" s="576"/>
      <c r="R1512" s="576"/>
      <c r="S1512" s="576"/>
      <c r="T1512" s="576"/>
      <c r="U1512" s="576"/>
      <c r="V1512" s="576"/>
      <c r="W1512" s="576"/>
      <c r="X1512" s="576"/>
      <c r="Y1512" s="576"/>
      <c r="Z1512" s="576"/>
    </row>
    <row r="1513" spans="1:26" ht="18.75">
      <c r="A1513" s="680"/>
      <c r="B1513" s="680"/>
      <c r="C1513" s="680"/>
      <c r="D1513" s="910"/>
      <c r="E1513" s="680"/>
      <c r="F1513" s="680"/>
      <c r="G1513" s="680"/>
      <c r="H1513" s="911"/>
      <c r="I1513" s="912"/>
      <c r="J1513" s="912"/>
      <c r="K1513" s="913"/>
      <c r="L1513" s="913"/>
      <c r="M1513" s="913"/>
      <c r="N1513" s="913"/>
      <c r="O1513" s="913"/>
      <c r="P1513" s="913"/>
      <c r="Q1513" s="576"/>
      <c r="R1513" s="576"/>
      <c r="S1513" s="576"/>
      <c r="T1513" s="576"/>
      <c r="U1513" s="576"/>
      <c r="V1513" s="576"/>
      <c r="W1513" s="576"/>
      <c r="X1513" s="576"/>
      <c r="Y1513" s="576"/>
      <c r="Z1513" s="576"/>
    </row>
    <row r="1514" spans="1:26" ht="18.75">
      <c r="A1514" s="680"/>
      <c r="B1514" s="680"/>
      <c r="C1514" s="680"/>
      <c r="D1514" s="910"/>
      <c r="E1514" s="680"/>
      <c r="F1514" s="680"/>
      <c r="G1514" s="680"/>
      <c r="H1514" s="911"/>
      <c r="I1514" s="912"/>
      <c r="J1514" s="912"/>
      <c r="K1514" s="913"/>
      <c r="L1514" s="913"/>
      <c r="M1514" s="913"/>
      <c r="N1514" s="913"/>
      <c r="O1514" s="913"/>
      <c r="P1514" s="913"/>
      <c r="Q1514" s="576"/>
      <c r="R1514" s="576"/>
      <c r="S1514" s="576"/>
      <c r="T1514" s="576"/>
      <c r="U1514" s="576"/>
      <c r="V1514" s="576"/>
      <c r="W1514" s="576"/>
      <c r="X1514" s="576"/>
      <c r="Y1514" s="576"/>
      <c r="Z1514" s="576"/>
    </row>
    <row r="1515" spans="1:26" ht="18.75">
      <c r="A1515" s="680"/>
      <c r="B1515" s="680"/>
      <c r="C1515" s="680"/>
      <c r="D1515" s="910"/>
      <c r="E1515" s="680"/>
      <c r="F1515" s="680"/>
      <c r="G1515" s="680"/>
      <c r="H1515" s="911"/>
      <c r="I1515" s="912"/>
      <c r="J1515" s="912"/>
      <c r="K1515" s="913"/>
      <c r="L1515" s="913"/>
      <c r="M1515" s="913"/>
      <c r="N1515" s="913"/>
      <c r="O1515" s="913"/>
      <c r="P1515" s="913"/>
      <c r="Q1515" s="576"/>
      <c r="R1515" s="576"/>
      <c r="S1515" s="576"/>
      <c r="T1515" s="576"/>
      <c r="U1515" s="576"/>
      <c r="V1515" s="576"/>
      <c r="W1515" s="576"/>
      <c r="X1515" s="576"/>
      <c r="Y1515" s="576"/>
      <c r="Z1515" s="576"/>
    </row>
    <row r="1516" spans="1:26" ht="18.75">
      <c r="A1516" s="680"/>
      <c r="B1516" s="680"/>
      <c r="C1516" s="680"/>
      <c r="D1516" s="910"/>
      <c r="E1516" s="680"/>
      <c r="F1516" s="680"/>
      <c r="G1516" s="680"/>
      <c r="H1516" s="911"/>
      <c r="I1516" s="912"/>
      <c r="J1516" s="912"/>
      <c r="K1516" s="913"/>
      <c r="L1516" s="913"/>
      <c r="M1516" s="913"/>
      <c r="N1516" s="913"/>
      <c r="O1516" s="913"/>
      <c r="P1516" s="913"/>
      <c r="Q1516" s="576"/>
      <c r="R1516" s="576"/>
      <c r="S1516" s="576"/>
      <c r="T1516" s="576"/>
      <c r="U1516" s="576"/>
      <c r="V1516" s="576"/>
      <c r="W1516" s="576"/>
      <c r="X1516" s="576"/>
      <c r="Y1516" s="576"/>
      <c r="Z1516" s="576"/>
    </row>
    <row r="1517" spans="1:26" ht="18.75">
      <c r="A1517" s="680"/>
      <c r="B1517" s="680"/>
      <c r="C1517" s="680"/>
      <c r="D1517" s="910"/>
      <c r="E1517" s="680"/>
      <c r="F1517" s="680"/>
      <c r="G1517" s="680"/>
      <c r="H1517" s="911"/>
      <c r="I1517" s="912"/>
      <c r="J1517" s="912"/>
      <c r="K1517" s="913"/>
      <c r="L1517" s="913"/>
      <c r="M1517" s="913"/>
      <c r="N1517" s="913"/>
      <c r="O1517" s="913"/>
      <c r="P1517" s="913"/>
      <c r="Q1517" s="576"/>
      <c r="R1517" s="576"/>
      <c r="S1517" s="576"/>
      <c r="T1517" s="576"/>
      <c r="U1517" s="576"/>
      <c r="V1517" s="576"/>
      <c r="W1517" s="576"/>
      <c r="X1517" s="576"/>
      <c r="Y1517" s="576"/>
      <c r="Z1517" s="576"/>
    </row>
    <row r="1518" spans="1:26" ht="18.75">
      <c r="A1518" s="680"/>
      <c r="B1518" s="680"/>
      <c r="C1518" s="680"/>
      <c r="D1518" s="910"/>
      <c r="E1518" s="680"/>
      <c r="F1518" s="680"/>
      <c r="G1518" s="680"/>
      <c r="H1518" s="911"/>
      <c r="I1518" s="912"/>
      <c r="J1518" s="912"/>
      <c r="K1518" s="913"/>
      <c r="L1518" s="913"/>
      <c r="M1518" s="913"/>
      <c r="N1518" s="913"/>
      <c r="O1518" s="913"/>
      <c r="P1518" s="913"/>
      <c r="Q1518" s="576"/>
      <c r="R1518" s="576"/>
      <c r="S1518" s="576"/>
      <c r="T1518" s="576"/>
      <c r="U1518" s="576"/>
      <c r="V1518" s="576"/>
      <c r="W1518" s="576"/>
      <c r="X1518" s="576"/>
      <c r="Y1518" s="576"/>
      <c r="Z1518" s="576"/>
    </row>
    <row r="1519" spans="1:26" ht="18.75">
      <c r="A1519" s="680"/>
      <c r="B1519" s="680"/>
      <c r="C1519" s="680"/>
      <c r="D1519" s="910"/>
      <c r="E1519" s="680"/>
      <c r="F1519" s="680"/>
      <c r="G1519" s="680"/>
      <c r="H1519" s="911"/>
      <c r="I1519" s="912"/>
      <c r="J1519" s="912"/>
      <c r="K1519" s="913"/>
      <c r="L1519" s="913"/>
      <c r="M1519" s="913"/>
      <c r="N1519" s="913"/>
      <c r="O1519" s="913"/>
      <c r="P1519" s="913"/>
      <c r="Q1519" s="576"/>
      <c r="R1519" s="576"/>
      <c r="S1519" s="576"/>
      <c r="T1519" s="576"/>
      <c r="U1519" s="576"/>
      <c r="V1519" s="576"/>
      <c r="W1519" s="576"/>
      <c r="X1519" s="576"/>
      <c r="Y1519" s="576"/>
      <c r="Z1519" s="576"/>
    </row>
    <row r="1520" spans="1:26" ht="18.75">
      <c r="A1520" s="680"/>
      <c r="B1520" s="680"/>
      <c r="C1520" s="680"/>
      <c r="D1520" s="910"/>
      <c r="E1520" s="680"/>
      <c r="F1520" s="680"/>
      <c r="G1520" s="680"/>
      <c r="H1520" s="911"/>
      <c r="I1520" s="912"/>
      <c r="J1520" s="912"/>
      <c r="K1520" s="913"/>
      <c r="L1520" s="913"/>
      <c r="M1520" s="913"/>
      <c r="N1520" s="913"/>
      <c r="O1520" s="913"/>
      <c r="P1520" s="913"/>
      <c r="Q1520" s="576"/>
      <c r="R1520" s="576"/>
      <c r="S1520" s="576"/>
      <c r="T1520" s="576"/>
      <c r="U1520" s="576"/>
      <c r="V1520" s="576"/>
      <c r="W1520" s="576"/>
      <c r="X1520" s="576"/>
      <c r="Y1520" s="576"/>
      <c r="Z1520" s="576"/>
    </row>
    <row r="1521" spans="1:26" ht="18.75">
      <c r="A1521" s="680"/>
      <c r="B1521" s="680"/>
      <c r="C1521" s="680"/>
      <c r="D1521" s="910"/>
      <c r="E1521" s="680"/>
      <c r="F1521" s="680"/>
      <c r="G1521" s="680"/>
      <c r="H1521" s="911"/>
      <c r="I1521" s="912"/>
      <c r="J1521" s="912"/>
      <c r="K1521" s="913"/>
      <c r="L1521" s="913"/>
      <c r="M1521" s="913"/>
      <c r="N1521" s="913"/>
      <c r="O1521" s="913"/>
      <c r="P1521" s="913"/>
      <c r="Q1521" s="576"/>
      <c r="R1521" s="576"/>
      <c r="S1521" s="576"/>
      <c r="T1521" s="576"/>
      <c r="U1521" s="576"/>
      <c r="V1521" s="576"/>
      <c r="W1521" s="576"/>
      <c r="X1521" s="576"/>
      <c r="Y1521" s="576"/>
      <c r="Z1521" s="576"/>
    </row>
    <row r="1522" spans="1:26" ht="18.75">
      <c r="A1522" s="680"/>
      <c r="B1522" s="680"/>
      <c r="C1522" s="680"/>
      <c r="D1522" s="910"/>
      <c r="E1522" s="680"/>
      <c r="F1522" s="680"/>
      <c r="G1522" s="680"/>
      <c r="H1522" s="911"/>
      <c r="I1522" s="912"/>
      <c r="J1522" s="912"/>
      <c r="K1522" s="913"/>
      <c r="L1522" s="913"/>
      <c r="M1522" s="913"/>
      <c r="N1522" s="913"/>
      <c r="O1522" s="913"/>
      <c r="P1522" s="913"/>
      <c r="Q1522" s="576"/>
      <c r="R1522" s="576"/>
      <c r="S1522" s="576"/>
      <c r="T1522" s="576"/>
      <c r="U1522" s="576"/>
      <c r="V1522" s="576"/>
      <c r="W1522" s="576"/>
      <c r="X1522" s="576"/>
      <c r="Y1522" s="576"/>
      <c r="Z1522" s="576"/>
    </row>
    <row r="1523" spans="1:26" ht="18.75">
      <c r="A1523" s="680"/>
      <c r="B1523" s="680"/>
      <c r="C1523" s="680"/>
      <c r="D1523" s="910"/>
      <c r="E1523" s="680"/>
      <c r="F1523" s="680"/>
      <c r="G1523" s="680"/>
      <c r="H1523" s="911"/>
      <c r="I1523" s="912"/>
      <c r="J1523" s="912"/>
      <c r="K1523" s="913"/>
      <c r="L1523" s="913"/>
      <c r="M1523" s="913"/>
      <c r="N1523" s="913"/>
      <c r="O1523" s="913"/>
      <c r="P1523" s="913"/>
      <c r="Q1523" s="576"/>
      <c r="R1523" s="576"/>
      <c r="S1523" s="576"/>
      <c r="T1523" s="576"/>
      <c r="U1523" s="576"/>
      <c r="V1523" s="576"/>
      <c r="W1523" s="576"/>
      <c r="X1523" s="576"/>
      <c r="Y1523" s="576"/>
      <c r="Z1523" s="576"/>
    </row>
    <row r="1524" spans="1:26" ht="18.75">
      <c r="A1524" s="680"/>
      <c r="B1524" s="680"/>
      <c r="C1524" s="680"/>
      <c r="D1524" s="910"/>
      <c r="E1524" s="680"/>
      <c r="F1524" s="680"/>
      <c r="G1524" s="680"/>
      <c r="H1524" s="911"/>
      <c r="I1524" s="912"/>
      <c r="J1524" s="912"/>
      <c r="K1524" s="913"/>
      <c r="L1524" s="913"/>
      <c r="M1524" s="913"/>
      <c r="N1524" s="913"/>
      <c r="O1524" s="913"/>
      <c r="P1524" s="913"/>
      <c r="Q1524" s="576"/>
      <c r="R1524" s="576"/>
      <c r="S1524" s="576"/>
      <c r="T1524" s="576"/>
      <c r="U1524" s="576"/>
      <c r="V1524" s="576"/>
      <c r="W1524" s="576"/>
      <c r="X1524" s="576"/>
      <c r="Y1524" s="576"/>
      <c r="Z1524" s="576"/>
    </row>
    <row r="1525" spans="1:26" ht="18.75">
      <c r="A1525" s="680"/>
      <c r="B1525" s="680"/>
      <c r="C1525" s="680"/>
      <c r="D1525" s="910"/>
      <c r="E1525" s="680"/>
      <c r="F1525" s="680"/>
      <c r="G1525" s="680"/>
      <c r="H1525" s="911"/>
      <c r="I1525" s="912"/>
      <c r="J1525" s="912"/>
      <c r="K1525" s="913"/>
      <c r="L1525" s="913"/>
      <c r="M1525" s="913"/>
      <c r="N1525" s="913"/>
      <c r="O1525" s="913"/>
      <c r="P1525" s="913"/>
      <c r="Q1525" s="576"/>
      <c r="R1525" s="576"/>
      <c r="S1525" s="576"/>
      <c r="T1525" s="576"/>
      <c r="U1525" s="576"/>
      <c r="V1525" s="576"/>
      <c r="W1525" s="576"/>
      <c r="X1525" s="576"/>
      <c r="Y1525" s="576"/>
      <c r="Z1525" s="576"/>
    </row>
    <row r="1526" spans="1:26" ht="18.75">
      <c r="A1526" s="680"/>
      <c r="B1526" s="680"/>
      <c r="C1526" s="680"/>
      <c r="D1526" s="910"/>
      <c r="E1526" s="680"/>
      <c r="F1526" s="680"/>
      <c r="G1526" s="680"/>
      <c r="H1526" s="911"/>
      <c r="I1526" s="912"/>
      <c r="J1526" s="912"/>
      <c r="K1526" s="913"/>
      <c r="L1526" s="913"/>
      <c r="M1526" s="913"/>
      <c r="N1526" s="913"/>
      <c r="O1526" s="913"/>
      <c r="P1526" s="913"/>
      <c r="Q1526" s="576"/>
      <c r="R1526" s="576"/>
      <c r="S1526" s="576"/>
      <c r="T1526" s="576"/>
      <c r="U1526" s="576"/>
      <c r="V1526" s="576"/>
      <c r="W1526" s="576"/>
      <c r="X1526" s="576"/>
      <c r="Y1526" s="576"/>
      <c r="Z1526" s="576"/>
    </row>
    <row r="1527" spans="1:26" ht="18.75">
      <c r="A1527" s="680"/>
      <c r="B1527" s="680"/>
      <c r="C1527" s="680"/>
      <c r="D1527" s="910"/>
      <c r="E1527" s="680"/>
      <c r="F1527" s="680"/>
      <c r="G1527" s="680"/>
      <c r="H1527" s="911"/>
      <c r="I1527" s="912"/>
      <c r="J1527" s="912"/>
      <c r="K1527" s="913"/>
      <c r="L1527" s="913"/>
      <c r="M1527" s="913"/>
      <c r="N1527" s="913"/>
      <c r="O1527" s="913"/>
      <c r="P1527" s="913"/>
      <c r="Q1527" s="576"/>
      <c r="R1527" s="576"/>
      <c r="S1527" s="576"/>
      <c r="T1527" s="576"/>
      <c r="U1527" s="576"/>
      <c r="V1527" s="576"/>
      <c r="W1527" s="576"/>
      <c r="X1527" s="576"/>
      <c r="Y1527" s="576"/>
      <c r="Z1527" s="576"/>
    </row>
    <row r="1528" spans="1:26" ht="18.75">
      <c r="A1528" s="680"/>
      <c r="B1528" s="680"/>
      <c r="C1528" s="680"/>
      <c r="D1528" s="910"/>
      <c r="E1528" s="680"/>
      <c r="F1528" s="680"/>
      <c r="G1528" s="680"/>
      <c r="H1528" s="911"/>
      <c r="I1528" s="912"/>
      <c r="J1528" s="912"/>
      <c r="K1528" s="913"/>
      <c r="L1528" s="913"/>
      <c r="M1528" s="913"/>
      <c r="N1528" s="913"/>
      <c r="O1528" s="913"/>
      <c r="P1528" s="913"/>
      <c r="Q1528" s="576"/>
      <c r="R1528" s="576"/>
      <c r="S1528" s="576"/>
      <c r="T1528" s="576"/>
      <c r="U1528" s="576"/>
      <c r="V1528" s="576"/>
      <c r="W1528" s="576"/>
      <c r="X1528" s="576"/>
      <c r="Y1528" s="576"/>
      <c r="Z1528" s="576"/>
    </row>
    <row r="1529" spans="1:26" ht="18.75">
      <c r="A1529" s="680"/>
      <c r="B1529" s="680"/>
      <c r="C1529" s="680"/>
      <c r="D1529" s="910"/>
      <c r="E1529" s="680"/>
      <c r="F1529" s="680"/>
      <c r="G1529" s="680"/>
      <c r="H1529" s="911"/>
      <c r="I1529" s="912"/>
      <c r="J1529" s="912"/>
      <c r="K1529" s="913"/>
      <c r="L1529" s="913"/>
      <c r="M1529" s="913"/>
      <c r="N1529" s="913"/>
      <c r="O1529" s="913"/>
      <c r="P1529" s="913"/>
      <c r="Q1529" s="576"/>
      <c r="R1529" s="576"/>
      <c r="S1529" s="576"/>
      <c r="T1529" s="576"/>
      <c r="U1529" s="576"/>
      <c r="V1529" s="576"/>
      <c r="W1529" s="576"/>
      <c r="X1529" s="576"/>
      <c r="Y1529" s="576"/>
      <c r="Z1529" s="576"/>
    </row>
    <row r="1530" spans="1:26" ht="18.75">
      <c r="A1530" s="680"/>
      <c r="B1530" s="680"/>
      <c r="C1530" s="680"/>
      <c r="D1530" s="910"/>
      <c r="E1530" s="680"/>
      <c r="F1530" s="680"/>
      <c r="G1530" s="680"/>
      <c r="H1530" s="911"/>
      <c r="I1530" s="912"/>
      <c r="J1530" s="912"/>
      <c r="K1530" s="913"/>
      <c r="L1530" s="913"/>
      <c r="M1530" s="913"/>
      <c r="N1530" s="913"/>
      <c r="O1530" s="913"/>
      <c r="P1530" s="913"/>
      <c r="Q1530" s="576"/>
      <c r="R1530" s="576"/>
      <c r="S1530" s="576"/>
      <c r="T1530" s="576"/>
      <c r="U1530" s="576"/>
      <c r="V1530" s="576"/>
      <c r="W1530" s="576"/>
      <c r="X1530" s="576"/>
      <c r="Y1530" s="576"/>
      <c r="Z1530" s="576"/>
    </row>
    <row r="1531" spans="1:26" ht="18.75">
      <c r="A1531" s="680"/>
      <c r="B1531" s="680"/>
      <c r="C1531" s="680"/>
      <c r="D1531" s="910"/>
      <c r="E1531" s="680"/>
      <c r="F1531" s="680"/>
      <c r="G1531" s="680"/>
      <c r="H1531" s="911"/>
      <c r="I1531" s="912"/>
      <c r="J1531" s="912"/>
      <c r="K1531" s="913"/>
      <c r="L1531" s="913"/>
      <c r="M1531" s="913"/>
      <c r="N1531" s="913"/>
      <c r="O1531" s="913"/>
      <c r="P1531" s="913"/>
      <c r="Q1531" s="576"/>
      <c r="R1531" s="576"/>
      <c r="S1531" s="576"/>
      <c r="T1531" s="576"/>
      <c r="U1531" s="576"/>
      <c r="V1531" s="576"/>
      <c r="W1531" s="576"/>
      <c r="X1531" s="576"/>
      <c r="Y1531" s="576"/>
      <c r="Z1531" s="576"/>
    </row>
    <row r="1532" spans="1:26" ht="18.75">
      <c r="A1532" s="680"/>
      <c r="B1532" s="680"/>
      <c r="C1532" s="680"/>
      <c r="D1532" s="910"/>
      <c r="E1532" s="680"/>
      <c r="F1532" s="680"/>
      <c r="G1532" s="680"/>
      <c r="H1532" s="911"/>
      <c r="I1532" s="912"/>
      <c r="J1532" s="912"/>
      <c r="K1532" s="913"/>
      <c r="L1532" s="913"/>
      <c r="M1532" s="913"/>
      <c r="N1532" s="913"/>
      <c r="O1532" s="913"/>
      <c r="P1532" s="913"/>
      <c r="Q1532" s="576"/>
      <c r="R1532" s="576"/>
      <c r="S1532" s="576"/>
      <c r="T1532" s="576"/>
      <c r="U1532" s="576"/>
      <c r="V1532" s="576"/>
      <c r="W1532" s="576"/>
      <c r="X1532" s="576"/>
      <c r="Y1532" s="576"/>
      <c r="Z1532" s="576"/>
    </row>
    <row r="1533" spans="1:26" ht="18.75">
      <c r="A1533" s="680"/>
      <c r="B1533" s="680"/>
      <c r="C1533" s="680"/>
      <c r="D1533" s="910"/>
      <c r="E1533" s="680"/>
      <c r="F1533" s="680"/>
      <c r="G1533" s="680"/>
      <c r="H1533" s="911"/>
      <c r="I1533" s="912"/>
      <c r="J1533" s="912"/>
      <c r="K1533" s="913"/>
      <c r="L1533" s="913"/>
      <c r="M1533" s="913"/>
      <c r="N1533" s="913"/>
      <c r="O1533" s="913"/>
      <c r="P1533" s="913"/>
      <c r="Q1533" s="576"/>
      <c r="R1533" s="576"/>
      <c r="S1533" s="576"/>
      <c r="T1533" s="576"/>
      <c r="U1533" s="576"/>
      <c r="V1533" s="576"/>
      <c r="W1533" s="576"/>
      <c r="X1533" s="576"/>
      <c r="Y1533" s="576"/>
      <c r="Z1533" s="576"/>
    </row>
    <row r="1534" spans="1:26" ht="18.75">
      <c r="A1534" s="680"/>
      <c r="B1534" s="680"/>
      <c r="C1534" s="680"/>
      <c r="D1534" s="910"/>
      <c r="E1534" s="680"/>
      <c r="F1534" s="680"/>
      <c r="G1534" s="680"/>
      <c r="H1534" s="911"/>
      <c r="I1534" s="912"/>
      <c r="J1534" s="912"/>
      <c r="K1534" s="913"/>
      <c r="L1534" s="913"/>
      <c r="M1534" s="913"/>
      <c r="N1534" s="913"/>
      <c r="O1534" s="913"/>
      <c r="P1534" s="913"/>
      <c r="Q1534" s="576"/>
      <c r="R1534" s="576"/>
      <c r="S1534" s="576"/>
      <c r="T1534" s="576"/>
      <c r="U1534" s="576"/>
      <c r="V1534" s="576"/>
      <c r="W1534" s="576"/>
      <c r="X1534" s="576"/>
      <c r="Y1534" s="576"/>
      <c r="Z1534" s="576"/>
    </row>
    <row r="1535" spans="1:26" ht="18.75">
      <c r="A1535" s="680"/>
      <c r="B1535" s="680"/>
      <c r="C1535" s="680"/>
      <c r="D1535" s="910"/>
      <c r="E1535" s="680"/>
      <c r="F1535" s="680"/>
      <c r="G1535" s="680"/>
      <c r="H1535" s="911"/>
      <c r="I1535" s="912"/>
      <c r="J1535" s="912"/>
      <c r="K1535" s="913"/>
      <c r="L1535" s="913"/>
      <c r="M1535" s="913"/>
      <c r="N1535" s="913"/>
      <c r="O1535" s="913"/>
      <c r="P1535" s="913"/>
      <c r="Q1535" s="576"/>
      <c r="R1535" s="576"/>
      <c r="S1535" s="576"/>
      <c r="T1535" s="576"/>
      <c r="U1535" s="576"/>
      <c r="V1535" s="576"/>
      <c r="W1535" s="576"/>
      <c r="X1535" s="576"/>
      <c r="Y1535" s="576"/>
      <c r="Z1535" s="576"/>
    </row>
    <row r="1536" spans="1:26" ht="18.75">
      <c r="A1536" s="680"/>
      <c r="B1536" s="680"/>
      <c r="C1536" s="680"/>
      <c r="D1536" s="910"/>
      <c r="E1536" s="680"/>
      <c r="F1536" s="680"/>
      <c r="G1536" s="680"/>
      <c r="H1536" s="911"/>
      <c r="I1536" s="912"/>
      <c r="J1536" s="912"/>
      <c r="K1536" s="913"/>
      <c r="L1536" s="913"/>
      <c r="M1536" s="913"/>
      <c r="N1536" s="913"/>
      <c r="O1536" s="913"/>
      <c r="P1536" s="913"/>
      <c r="Q1536" s="576"/>
      <c r="R1536" s="576"/>
      <c r="S1536" s="576"/>
      <c r="T1536" s="576"/>
      <c r="U1536" s="576"/>
      <c r="V1536" s="576"/>
      <c r="W1536" s="576"/>
      <c r="X1536" s="576"/>
      <c r="Y1536" s="576"/>
      <c r="Z1536" s="576"/>
    </row>
    <row r="1537" spans="1:26" ht="18.75">
      <c r="A1537" s="680"/>
      <c r="B1537" s="680"/>
      <c r="C1537" s="680"/>
      <c r="D1537" s="910"/>
      <c r="E1537" s="680"/>
      <c r="F1537" s="680"/>
      <c r="G1537" s="680"/>
      <c r="H1537" s="911"/>
      <c r="I1537" s="912"/>
      <c r="J1537" s="912"/>
      <c r="K1537" s="913"/>
      <c r="L1537" s="913"/>
      <c r="M1537" s="913"/>
      <c r="N1537" s="913"/>
      <c r="O1537" s="913"/>
      <c r="P1537" s="913"/>
      <c r="Q1537" s="576"/>
      <c r="R1537" s="576"/>
      <c r="S1537" s="576"/>
      <c r="T1537" s="576"/>
      <c r="U1537" s="576"/>
      <c r="V1537" s="576"/>
      <c r="W1537" s="576"/>
      <c r="X1537" s="576"/>
      <c r="Y1537" s="576"/>
      <c r="Z1537" s="576"/>
    </row>
    <row r="1538" spans="1:26" ht="18.75">
      <c r="A1538" s="680"/>
      <c r="B1538" s="680"/>
      <c r="C1538" s="680"/>
      <c r="D1538" s="910"/>
      <c r="E1538" s="680"/>
      <c r="F1538" s="680"/>
      <c r="G1538" s="680"/>
      <c r="H1538" s="911"/>
      <c r="I1538" s="912"/>
      <c r="J1538" s="912"/>
      <c r="K1538" s="913"/>
      <c r="L1538" s="913"/>
      <c r="M1538" s="913"/>
      <c r="N1538" s="913"/>
      <c r="O1538" s="913"/>
      <c r="P1538" s="913"/>
      <c r="Q1538" s="576"/>
      <c r="R1538" s="576"/>
      <c r="S1538" s="576"/>
      <c r="T1538" s="576"/>
      <c r="U1538" s="576"/>
      <c r="V1538" s="576"/>
      <c r="W1538" s="576"/>
      <c r="X1538" s="576"/>
      <c r="Y1538" s="576"/>
      <c r="Z1538" s="576"/>
    </row>
    <row r="1539" spans="1:26" ht="18.75">
      <c r="A1539" s="680"/>
      <c r="B1539" s="680"/>
      <c r="C1539" s="680"/>
      <c r="D1539" s="910"/>
      <c r="E1539" s="680"/>
      <c r="F1539" s="680"/>
      <c r="G1539" s="680"/>
      <c r="H1539" s="911"/>
      <c r="I1539" s="912"/>
      <c r="J1539" s="912"/>
      <c r="K1539" s="913"/>
      <c r="L1539" s="913"/>
      <c r="M1539" s="913"/>
      <c r="N1539" s="913"/>
      <c r="O1539" s="913"/>
      <c r="P1539" s="913"/>
      <c r="Q1539" s="576"/>
      <c r="R1539" s="576"/>
      <c r="S1539" s="576"/>
      <c r="T1539" s="576"/>
      <c r="U1539" s="576"/>
      <c r="V1539" s="576"/>
      <c r="W1539" s="576"/>
      <c r="X1539" s="576"/>
      <c r="Y1539" s="576"/>
      <c r="Z1539" s="576"/>
    </row>
    <row r="1540" spans="1:26" ht="18.75">
      <c r="A1540" s="680"/>
      <c r="B1540" s="680"/>
      <c r="C1540" s="680"/>
      <c r="D1540" s="910"/>
      <c r="E1540" s="680"/>
      <c r="F1540" s="680"/>
      <c r="G1540" s="680"/>
      <c r="H1540" s="911"/>
      <c r="I1540" s="912"/>
      <c r="J1540" s="912"/>
      <c r="K1540" s="913"/>
      <c r="L1540" s="913"/>
      <c r="M1540" s="913"/>
      <c r="N1540" s="913"/>
      <c r="O1540" s="913"/>
      <c r="P1540" s="913"/>
      <c r="Q1540" s="576"/>
      <c r="R1540" s="576"/>
      <c r="S1540" s="576"/>
      <c r="T1540" s="576"/>
      <c r="U1540" s="576"/>
      <c r="V1540" s="576"/>
      <c r="W1540" s="576"/>
      <c r="X1540" s="576"/>
      <c r="Y1540" s="576"/>
      <c r="Z1540" s="576"/>
    </row>
    <row r="1541" spans="1:26" ht="18.75">
      <c r="A1541" s="680"/>
      <c r="B1541" s="680"/>
      <c r="C1541" s="680"/>
      <c r="D1541" s="910"/>
      <c r="E1541" s="680"/>
      <c r="F1541" s="680"/>
      <c r="G1541" s="680"/>
      <c r="H1541" s="911"/>
      <c r="I1541" s="912"/>
      <c r="J1541" s="912"/>
      <c r="K1541" s="913"/>
      <c r="L1541" s="913"/>
      <c r="M1541" s="913"/>
      <c r="N1541" s="913"/>
      <c r="O1541" s="913"/>
      <c r="P1541" s="913"/>
      <c r="Q1541" s="576"/>
      <c r="R1541" s="576"/>
      <c r="S1541" s="576"/>
      <c r="T1541" s="576"/>
      <c r="U1541" s="576"/>
      <c r="V1541" s="576"/>
      <c r="W1541" s="576"/>
      <c r="X1541" s="576"/>
      <c r="Y1541" s="576"/>
      <c r="Z1541" s="576"/>
    </row>
    <row r="1542" spans="1:26" ht="18.75">
      <c r="A1542" s="680"/>
      <c r="B1542" s="680"/>
      <c r="C1542" s="680"/>
      <c r="D1542" s="910"/>
      <c r="E1542" s="680"/>
      <c r="F1542" s="680"/>
      <c r="G1542" s="680"/>
      <c r="H1542" s="911"/>
      <c r="I1542" s="912"/>
      <c r="J1542" s="912"/>
      <c r="K1542" s="913"/>
      <c r="L1542" s="913"/>
      <c r="M1542" s="913"/>
      <c r="N1542" s="913"/>
      <c r="O1542" s="913"/>
      <c r="P1542" s="913"/>
      <c r="Q1542" s="576"/>
      <c r="R1542" s="576"/>
      <c r="S1542" s="576"/>
      <c r="T1542" s="576"/>
      <c r="U1542" s="576"/>
      <c r="V1542" s="576"/>
      <c r="W1542" s="576"/>
      <c r="X1542" s="576"/>
      <c r="Y1542" s="576"/>
      <c r="Z1542" s="576"/>
    </row>
    <row r="1543" spans="1:26" ht="18.75">
      <c r="A1543" s="680"/>
      <c r="B1543" s="680"/>
      <c r="C1543" s="680"/>
      <c r="D1543" s="910"/>
      <c r="E1543" s="680"/>
      <c r="F1543" s="680"/>
      <c r="G1543" s="680"/>
      <c r="H1543" s="911"/>
      <c r="I1543" s="912"/>
      <c r="J1543" s="912"/>
      <c r="K1543" s="913"/>
      <c r="L1543" s="913"/>
      <c r="M1543" s="913"/>
      <c r="N1543" s="913"/>
      <c r="O1543" s="913"/>
      <c r="P1543" s="913"/>
      <c r="Q1543" s="576"/>
      <c r="R1543" s="576"/>
      <c r="S1543" s="576"/>
      <c r="T1543" s="576"/>
      <c r="U1543" s="576"/>
      <c r="V1543" s="576"/>
      <c r="W1543" s="576"/>
      <c r="X1543" s="576"/>
      <c r="Y1543" s="576"/>
      <c r="Z1543" s="576"/>
    </row>
    <row r="1544" spans="1:26" ht="18.75">
      <c r="A1544" s="680"/>
      <c r="B1544" s="680"/>
      <c r="C1544" s="680"/>
      <c r="D1544" s="910"/>
      <c r="E1544" s="680"/>
      <c r="F1544" s="680"/>
      <c r="G1544" s="680"/>
      <c r="H1544" s="911"/>
      <c r="I1544" s="912"/>
      <c r="J1544" s="912"/>
      <c r="K1544" s="913"/>
      <c r="L1544" s="913"/>
      <c r="M1544" s="913"/>
      <c r="N1544" s="913"/>
      <c r="O1544" s="913"/>
      <c r="P1544" s="913"/>
      <c r="Q1544" s="576"/>
      <c r="R1544" s="576"/>
      <c r="S1544" s="576"/>
      <c r="T1544" s="576"/>
      <c r="U1544" s="576"/>
      <c r="V1544" s="576"/>
      <c r="W1544" s="576"/>
      <c r="X1544" s="576"/>
      <c r="Y1544" s="576"/>
      <c r="Z1544" s="576"/>
    </row>
    <row r="1545" spans="1:26" ht="18.75">
      <c r="A1545" s="680"/>
      <c r="B1545" s="680"/>
      <c r="C1545" s="680"/>
      <c r="D1545" s="910"/>
      <c r="E1545" s="680"/>
      <c r="F1545" s="680"/>
      <c r="G1545" s="680"/>
      <c r="H1545" s="911"/>
      <c r="I1545" s="912"/>
      <c r="J1545" s="912"/>
      <c r="K1545" s="913"/>
      <c r="L1545" s="913"/>
      <c r="M1545" s="913"/>
      <c r="N1545" s="913"/>
      <c r="O1545" s="913"/>
      <c r="P1545" s="913"/>
      <c r="Q1545" s="576"/>
      <c r="R1545" s="576"/>
      <c r="S1545" s="576"/>
      <c r="T1545" s="576"/>
      <c r="U1545" s="576"/>
      <c r="V1545" s="576"/>
      <c r="W1545" s="576"/>
      <c r="X1545" s="576"/>
      <c r="Y1545" s="576"/>
      <c r="Z1545" s="576"/>
    </row>
    <row r="1546" spans="1:26" ht="18.75">
      <c r="A1546" s="680"/>
      <c r="B1546" s="680"/>
      <c r="C1546" s="680"/>
      <c r="D1546" s="910"/>
      <c r="E1546" s="680"/>
      <c r="F1546" s="680"/>
      <c r="G1546" s="680"/>
      <c r="H1546" s="911"/>
      <c r="I1546" s="912"/>
      <c r="J1546" s="912"/>
      <c r="K1546" s="913"/>
      <c r="L1546" s="913"/>
      <c r="M1546" s="913"/>
      <c r="N1546" s="913"/>
      <c r="O1546" s="913"/>
      <c r="P1546" s="913"/>
      <c r="Q1546" s="576"/>
      <c r="R1546" s="576"/>
      <c r="S1546" s="576"/>
      <c r="T1546" s="576"/>
      <c r="U1546" s="576"/>
      <c r="V1546" s="576"/>
      <c r="W1546" s="576"/>
      <c r="X1546" s="576"/>
      <c r="Y1546" s="576"/>
      <c r="Z1546" s="576"/>
    </row>
    <row r="1547" spans="1:26" ht="18.75">
      <c r="A1547" s="680"/>
      <c r="B1547" s="680"/>
      <c r="C1547" s="680"/>
      <c r="D1547" s="910"/>
      <c r="E1547" s="680"/>
      <c r="F1547" s="680"/>
      <c r="G1547" s="680"/>
      <c r="H1547" s="911"/>
      <c r="I1547" s="912"/>
      <c r="J1547" s="912"/>
      <c r="K1547" s="913"/>
      <c r="L1547" s="913"/>
      <c r="M1547" s="913"/>
      <c r="N1547" s="913"/>
      <c r="O1547" s="913"/>
      <c r="P1547" s="913"/>
      <c r="Q1547" s="576"/>
      <c r="R1547" s="576"/>
      <c r="S1547" s="576"/>
      <c r="T1547" s="576"/>
      <c r="U1547" s="576"/>
      <c r="V1547" s="576"/>
      <c r="W1547" s="576"/>
      <c r="X1547" s="576"/>
      <c r="Y1547" s="576"/>
      <c r="Z1547" s="576"/>
    </row>
    <row r="1548" spans="1:26" ht="18.75">
      <c r="A1548" s="680"/>
      <c r="B1548" s="680"/>
      <c r="C1548" s="680"/>
      <c r="D1548" s="910"/>
      <c r="E1548" s="680"/>
      <c r="F1548" s="680"/>
      <c r="G1548" s="680"/>
      <c r="H1548" s="911"/>
      <c r="I1548" s="912"/>
      <c r="J1548" s="912"/>
      <c r="K1548" s="913"/>
      <c r="L1548" s="913"/>
      <c r="M1548" s="913"/>
      <c r="N1548" s="913"/>
      <c r="O1548" s="913"/>
      <c r="P1548" s="913"/>
      <c r="Q1548" s="576"/>
      <c r="R1548" s="576"/>
      <c r="S1548" s="576"/>
      <c r="T1548" s="576"/>
      <c r="U1548" s="576"/>
      <c r="V1548" s="576"/>
      <c r="W1548" s="576"/>
      <c r="X1548" s="576"/>
      <c r="Y1548" s="576"/>
      <c r="Z1548" s="576"/>
    </row>
    <row r="1549" spans="1:26" ht="18.75">
      <c r="A1549" s="680"/>
      <c r="B1549" s="680"/>
      <c r="C1549" s="680"/>
      <c r="D1549" s="910"/>
      <c r="E1549" s="680"/>
      <c r="F1549" s="680"/>
      <c r="G1549" s="680"/>
      <c r="H1549" s="911"/>
      <c r="I1549" s="912"/>
      <c r="J1549" s="912"/>
      <c r="K1549" s="913"/>
      <c r="L1549" s="913"/>
      <c r="M1549" s="913"/>
      <c r="N1549" s="913"/>
      <c r="O1549" s="913"/>
      <c r="P1549" s="913"/>
      <c r="Q1549" s="576"/>
      <c r="R1549" s="576"/>
      <c r="S1549" s="576"/>
      <c r="T1549" s="576"/>
      <c r="U1549" s="576"/>
      <c r="V1549" s="576"/>
      <c r="W1549" s="576"/>
      <c r="X1549" s="576"/>
      <c r="Y1549" s="576"/>
      <c r="Z1549" s="576"/>
    </row>
    <row r="1550" spans="1:26" ht="18.75">
      <c r="A1550" s="680"/>
      <c r="B1550" s="680"/>
      <c r="C1550" s="680"/>
      <c r="D1550" s="910"/>
      <c r="E1550" s="680"/>
      <c r="F1550" s="680"/>
      <c r="G1550" s="680"/>
      <c r="H1550" s="911"/>
      <c r="I1550" s="912"/>
      <c r="J1550" s="912"/>
      <c r="K1550" s="913"/>
      <c r="L1550" s="913"/>
      <c r="M1550" s="913"/>
      <c r="N1550" s="913"/>
      <c r="O1550" s="913"/>
      <c r="P1550" s="913"/>
      <c r="Q1550" s="576"/>
      <c r="R1550" s="576"/>
      <c r="S1550" s="576"/>
      <c r="T1550" s="576"/>
      <c r="U1550" s="576"/>
      <c r="V1550" s="576"/>
      <c r="W1550" s="576"/>
      <c r="X1550" s="576"/>
      <c r="Y1550" s="576"/>
      <c r="Z1550" s="576"/>
    </row>
    <row r="1551" spans="1:26" ht="18.75">
      <c r="A1551" s="680"/>
      <c r="B1551" s="680"/>
      <c r="C1551" s="680"/>
      <c r="D1551" s="910"/>
      <c r="E1551" s="680"/>
      <c r="F1551" s="680"/>
      <c r="G1551" s="680"/>
      <c r="H1551" s="911"/>
      <c r="I1551" s="912"/>
      <c r="J1551" s="912"/>
      <c r="K1551" s="913"/>
      <c r="L1551" s="913"/>
      <c r="M1551" s="913"/>
      <c r="N1551" s="913"/>
      <c r="O1551" s="913"/>
      <c r="P1551" s="913"/>
      <c r="Q1551" s="576"/>
      <c r="R1551" s="576"/>
      <c r="S1551" s="576"/>
      <c r="T1551" s="576"/>
      <c r="U1551" s="576"/>
      <c r="V1551" s="576"/>
      <c r="W1551" s="576"/>
      <c r="X1551" s="576"/>
      <c r="Y1551" s="576"/>
      <c r="Z1551" s="576"/>
    </row>
    <row r="1552" spans="1:26" ht="18.75">
      <c r="A1552" s="680"/>
      <c r="B1552" s="680"/>
      <c r="C1552" s="680"/>
      <c r="D1552" s="910"/>
      <c r="E1552" s="680"/>
      <c r="F1552" s="680"/>
      <c r="G1552" s="680"/>
      <c r="H1552" s="911"/>
      <c r="I1552" s="912"/>
      <c r="J1552" s="912"/>
      <c r="K1552" s="913"/>
      <c r="L1552" s="913"/>
      <c r="M1552" s="913"/>
      <c r="N1552" s="913"/>
      <c r="O1552" s="913"/>
      <c r="P1552" s="913"/>
      <c r="Q1552" s="576"/>
      <c r="R1552" s="576"/>
      <c r="S1552" s="576"/>
      <c r="T1552" s="576"/>
      <c r="U1552" s="576"/>
      <c r="V1552" s="576"/>
      <c r="W1552" s="576"/>
      <c r="X1552" s="576"/>
      <c r="Y1552" s="576"/>
      <c r="Z1552" s="576"/>
    </row>
    <row r="1553" spans="1:26" ht="18.75">
      <c r="A1553" s="680"/>
      <c r="B1553" s="680"/>
      <c r="C1553" s="680"/>
      <c r="D1553" s="910"/>
      <c r="E1553" s="680"/>
      <c r="F1553" s="680"/>
      <c r="G1553" s="680"/>
      <c r="H1553" s="911"/>
      <c r="I1553" s="912"/>
      <c r="J1553" s="912"/>
      <c r="K1553" s="913"/>
      <c r="L1553" s="913"/>
      <c r="M1553" s="913"/>
      <c r="N1553" s="913"/>
      <c r="O1553" s="913"/>
      <c r="P1553" s="913"/>
      <c r="Q1553" s="576"/>
      <c r="R1553" s="576"/>
      <c r="S1553" s="576"/>
      <c r="T1553" s="576"/>
      <c r="U1553" s="576"/>
      <c r="V1553" s="576"/>
      <c r="W1553" s="576"/>
      <c r="X1553" s="576"/>
      <c r="Y1553" s="576"/>
      <c r="Z1553" s="576"/>
    </row>
    <row r="1554" spans="1:26" ht="18.75">
      <c r="A1554" s="680"/>
      <c r="B1554" s="680"/>
      <c r="C1554" s="680"/>
      <c r="D1554" s="910"/>
      <c r="E1554" s="680"/>
      <c r="F1554" s="680"/>
      <c r="G1554" s="680"/>
      <c r="H1554" s="911"/>
      <c r="I1554" s="912"/>
      <c r="J1554" s="912"/>
      <c r="K1554" s="913"/>
      <c r="L1554" s="913"/>
      <c r="M1554" s="913"/>
      <c r="N1554" s="913"/>
      <c r="O1554" s="913"/>
      <c r="P1554" s="913"/>
      <c r="Q1554" s="576"/>
      <c r="R1554" s="576"/>
      <c r="S1554" s="576"/>
      <c r="T1554" s="576"/>
      <c r="U1554" s="576"/>
      <c r="V1554" s="576"/>
      <c r="W1554" s="576"/>
      <c r="X1554" s="576"/>
      <c r="Y1554" s="576"/>
      <c r="Z1554" s="576"/>
    </row>
    <row r="1555" spans="1:26" ht="18.75">
      <c r="A1555" s="680"/>
      <c r="B1555" s="680"/>
      <c r="C1555" s="680"/>
      <c r="D1555" s="910"/>
      <c r="E1555" s="680"/>
      <c r="F1555" s="680"/>
      <c r="G1555" s="680"/>
      <c r="H1555" s="911"/>
      <c r="I1555" s="912"/>
      <c r="J1555" s="912"/>
      <c r="K1555" s="913"/>
      <c r="L1555" s="913"/>
      <c r="M1555" s="913"/>
      <c r="N1555" s="913"/>
      <c r="O1555" s="913"/>
      <c r="P1555" s="913"/>
      <c r="Q1555" s="576"/>
      <c r="R1555" s="576"/>
      <c r="S1555" s="576"/>
      <c r="T1555" s="576"/>
      <c r="U1555" s="576"/>
      <c r="V1555" s="576"/>
      <c r="W1555" s="576"/>
      <c r="X1555" s="576"/>
      <c r="Y1555" s="576"/>
      <c r="Z1555" s="576"/>
    </row>
    <row r="1556" spans="1:26" ht="18.75">
      <c r="A1556" s="680"/>
      <c r="B1556" s="680"/>
      <c r="C1556" s="680"/>
      <c r="D1556" s="910"/>
      <c r="E1556" s="680"/>
      <c r="F1556" s="680"/>
      <c r="G1556" s="680"/>
      <c r="H1556" s="911"/>
      <c r="I1556" s="912"/>
      <c r="J1556" s="912"/>
      <c r="K1556" s="913"/>
      <c r="L1556" s="913"/>
      <c r="M1556" s="913"/>
      <c r="N1556" s="913"/>
      <c r="O1556" s="913"/>
      <c r="P1556" s="913"/>
      <c r="Q1556" s="576"/>
      <c r="R1556" s="576"/>
      <c r="S1556" s="576"/>
      <c r="T1556" s="576"/>
      <c r="U1556" s="576"/>
      <c r="V1556" s="576"/>
      <c r="W1556" s="576"/>
      <c r="X1556" s="576"/>
      <c r="Y1556" s="576"/>
      <c r="Z1556" s="576"/>
    </row>
    <row r="1557" spans="1:26" ht="18.75">
      <c r="A1557" s="680"/>
      <c r="B1557" s="680"/>
      <c r="C1557" s="680"/>
      <c r="D1557" s="910"/>
      <c r="E1557" s="680"/>
      <c r="F1557" s="680"/>
      <c r="G1557" s="680"/>
      <c r="H1557" s="911"/>
      <c r="I1557" s="912"/>
      <c r="J1557" s="912"/>
      <c r="K1557" s="913"/>
      <c r="L1557" s="913"/>
      <c r="M1557" s="913"/>
      <c r="N1557" s="913"/>
      <c r="O1557" s="913"/>
      <c r="P1557" s="913"/>
      <c r="Q1557" s="576"/>
      <c r="R1557" s="576"/>
      <c r="S1557" s="576"/>
      <c r="T1557" s="576"/>
      <c r="U1557" s="576"/>
      <c r="V1557" s="576"/>
      <c r="W1557" s="576"/>
      <c r="X1557" s="576"/>
      <c r="Y1557" s="576"/>
      <c r="Z1557" s="576"/>
    </row>
    <row r="1558" spans="1:26" ht="18.75">
      <c r="A1558" s="680"/>
      <c r="B1558" s="680"/>
      <c r="C1558" s="680"/>
      <c r="D1558" s="910"/>
      <c r="E1558" s="680"/>
      <c r="F1558" s="680"/>
      <c r="G1558" s="680"/>
      <c r="H1558" s="911"/>
      <c r="I1558" s="912"/>
      <c r="J1558" s="912"/>
      <c r="K1558" s="913"/>
      <c r="L1558" s="913"/>
      <c r="M1558" s="913"/>
      <c r="N1558" s="913"/>
      <c r="O1558" s="913"/>
      <c r="P1558" s="913"/>
      <c r="Q1558" s="576"/>
      <c r="R1558" s="576"/>
      <c r="S1558" s="576"/>
      <c r="T1558" s="576"/>
      <c r="U1558" s="576"/>
      <c r="V1558" s="576"/>
      <c r="W1558" s="576"/>
      <c r="X1558" s="576"/>
      <c r="Y1558" s="576"/>
      <c r="Z1558" s="576"/>
    </row>
    <row r="1559" spans="1:26" ht="18.75">
      <c r="A1559" s="680"/>
      <c r="B1559" s="680"/>
      <c r="C1559" s="680"/>
      <c r="D1559" s="910"/>
      <c r="E1559" s="680"/>
      <c r="F1559" s="680"/>
      <c r="G1559" s="680"/>
      <c r="H1559" s="911"/>
      <c r="I1559" s="912"/>
      <c r="J1559" s="912"/>
      <c r="K1559" s="913"/>
      <c r="L1559" s="913"/>
      <c r="M1559" s="913"/>
      <c r="N1559" s="913"/>
      <c r="O1559" s="913"/>
      <c r="P1559" s="913"/>
      <c r="Q1559" s="576"/>
      <c r="R1559" s="576"/>
      <c r="S1559" s="576"/>
      <c r="T1559" s="576"/>
      <c r="U1559" s="576"/>
      <c r="V1559" s="576"/>
      <c r="W1559" s="576"/>
      <c r="X1559" s="576"/>
      <c r="Y1559" s="576"/>
      <c r="Z1559" s="576"/>
    </row>
    <row r="1560" spans="1:26" ht="18.75">
      <c r="A1560" s="680"/>
      <c r="B1560" s="680"/>
      <c r="C1560" s="680"/>
      <c r="D1560" s="910"/>
      <c r="E1560" s="680"/>
      <c r="F1560" s="680"/>
      <c r="G1560" s="680"/>
      <c r="H1560" s="911"/>
      <c r="I1560" s="912"/>
      <c r="J1560" s="912"/>
      <c r="K1560" s="913"/>
      <c r="L1560" s="913"/>
      <c r="M1560" s="913"/>
      <c r="N1560" s="913"/>
      <c r="O1560" s="913"/>
      <c r="P1560" s="913"/>
      <c r="Q1560" s="576"/>
      <c r="R1560" s="576"/>
      <c r="S1560" s="576"/>
      <c r="T1560" s="576"/>
      <c r="U1560" s="576"/>
      <c r="V1560" s="576"/>
      <c r="W1560" s="576"/>
      <c r="X1560" s="576"/>
      <c r="Y1560" s="576"/>
      <c r="Z1560" s="576"/>
    </row>
    <row r="1561" spans="1:26" ht="18.75">
      <c r="A1561" s="680"/>
      <c r="B1561" s="680"/>
      <c r="C1561" s="680"/>
      <c r="D1561" s="910"/>
      <c r="E1561" s="680"/>
      <c r="F1561" s="680"/>
      <c r="G1561" s="680"/>
      <c r="H1561" s="911"/>
      <c r="I1561" s="912"/>
      <c r="J1561" s="912"/>
      <c r="K1561" s="913"/>
      <c r="L1561" s="913"/>
      <c r="M1561" s="913"/>
      <c r="N1561" s="913"/>
      <c r="O1561" s="913"/>
      <c r="P1561" s="913"/>
      <c r="Q1561" s="576"/>
      <c r="R1561" s="576"/>
      <c r="S1561" s="576"/>
      <c r="T1561" s="576"/>
      <c r="U1561" s="576"/>
      <c r="V1561" s="576"/>
      <c r="W1561" s="576"/>
      <c r="X1561" s="576"/>
      <c r="Y1561" s="576"/>
      <c r="Z1561" s="576"/>
    </row>
    <row r="1562" spans="1:26" ht="18.75">
      <c r="A1562" s="680"/>
      <c r="B1562" s="680"/>
      <c r="C1562" s="680"/>
      <c r="D1562" s="910"/>
      <c r="E1562" s="680"/>
      <c r="F1562" s="680"/>
      <c r="G1562" s="680"/>
      <c r="H1562" s="911"/>
      <c r="I1562" s="912"/>
      <c r="J1562" s="912"/>
      <c r="K1562" s="913"/>
      <c r="L1562" s="913"/>
      <c r="M1562" s="913"/>
      <c r="N1562" s="913"/>
      <c r="O1562" s="913"/>
      <c r="P1562" s="913"/>
      <c r="Q1562" s="576"/>
      <c r="R1562" s="576"/>
      <c r="S1562" s="576"/>
      <c r="T1562" s="576"/>
      <c r="U1562" s="576"/>
      <c r="V1562" s="576"/>
      <c r="W1562" s="576"/>
      <c r="X1562" s="576"/>
      <c r="Y1562" s="576"/>
      <c r="Z1562" s="576"/>
    </row>
    <row r="1563" spans="1:26" ht="18.75">
      <c r="A1563" s="680"/>
      <c r="B1563" s="680"/>
      <c r="C1563" s="680"/>
      <c r="D1563" s="910"/>
      <c r="E1563" s="680"/>
      <c r="F1563" s="680"/>
      <c r="G1563" s="680"/>
      <c r="H1563" s="911"/>
      <c r="I1563" s="912"/>
      <c r="J1563" s="912"/>
      <c r="K1563" s="913"/>
      <c r="L1563" s="913"/>
      <c r="M1563" s="913"/>
      <c r="N1563" s="913"/>
      <c r="O1563" s="913"/>
      <c r="P1563" s="913"/>
      <c r="Q1563" s="576"/>
      <c r="R1563" s="576"/>
      <c r="S1563" s="576"/>
      <c r="T1563" s="576"/>
      <c r="U1563" s="576"/>
      <c r="V1563" s="576"/>
      <c r="W1563" s="576"/>
      <c r="X1563" s="576"/>
      <c r="Y1563" s="576"/>
      <c r="Z1563" s="576"/>
    </row>
    <row r="1564" spans="1:26" ht="18.75">
      <c r="A1564" s="680"/>
      <c r="B1564" s="680"/>
      <c r="C1564" s="680"/>
      <c r="D1564" s="910"/>
      <c r="E1564" s="680"/>
      <c r="F1564" s="680"/>
      <c r="G1564" s="680"/>
      <c r="H1564" s="911"/>
      <c r="I1564" s="912"/>
      <c r="J1564" s="912"/>
      <c r="K1564" s="913"/>
      <c r="L1564" s="913"/>
      <c r="M1564" s="913"/>
      <c r="N1564" s="913"/>
      <c r="O1564" s="913"/>
      <c r="P1564" s="913"/>
      <c r="Q1564" s="576"/>
      <c r="R1564" s="576"/>
      <c r="S1564" s="576"/>
      <c r="T1564" s="576"/>
      <c r="U1564" s="576"/>
      <c r="V1564" s="576"/>
      <c r="W1564" s="576"/>
      <c r="X1564" s="576"/>
      <c r="Y1564" s="576"/>
      <c r="Z1564" s="576"/>
    </row>
    <row r="1565" spans="1:26" ht="18.75">
      <c r="A1565" s="680"/>
      <c r="B1565" s="680"/>
      <c r="C1565" s="680"/>
      <c r="D1565" s="910"/>
      <c r="E1565" s="680"/>
      <c r="F1565" s="680"/>
      <c r="G1565" s="680"/>
      <c r="H1565" s="911"/>
      <c r="I1565" s="912"/>
      <c r="J1565" s="912"/>
      <c r="K1565" s="913"/>
      <c r="L1565" s="913"/>
      <c r="M1565" s="913"/>
      <c r="N1565" s="913"/>
      <c r="O1565" s="913"/>
      <c r="P1565" s="913"/>
      <c r="Q1565" s="576"/>
      <c r="R1565" s="576"/>
      <c r="S1565" s="576"/>
      <c r="T1565" s="576"/>
      <c r="U1565" s="576"/>
      <c r="V1565" s="576"/>
      <c r="W1565" s="576"/>
      <c r="X1565" s="576"/>
      <c r="Y1565" s="576"/>
      <c r="Z1565" s="576"/>
    </row>
    <row r="1566" spans="1:26" ht="18.75">
      <c r="A1566" s="680"/>
      <c r="B1566" s="680"/>
      <c r="C1566" s="680"/>
      <c r="D1566" s="910"/>
      <c r="E1566" s="680"/>
      <c r="F1566" s="680"/>
      <c r="G1566" s="680"/>
      <c r="H1566" s="911"/>
      <c r="I1566" s="912"/>
      <c r="J1566" s="912"/>
      <c r="K1566" s="913"/>
      <c r="L1566" s="913"/>
      <c r="M1566" s="913"/>
      <c r="N1566" s="913"/>
      <c r="O1566" s="913"/>
      <c r="P1566" s="913"/>
      <c r="Q1566" s="576"/>
      <c r="R1566" s="576"/>
      <c r="S1566" s="576"/>
      <c r="T1566" s="576"/>
      <c r="U1566" s="576"/>
      <c r="V1566" s="576"/>
      <c r="W1566" s="576"/>
      <c r="X1566" s="576"/>
      <c r="Y1566" s="576"/>
      <c r="Z1566" s="576"/>
    </row>
    <row r="1567" spans="1:26" ht="18.75">
      <c r="A1567" s="680"/>
      <c r="B1567" s="680"/>
      <c r="C1567" s="680"/>
      <c r="D1567" s="910"/>
      <c r="E1567" s="680"/>
      <c r="F1567" s="680"/>
      <c r="G1567" s="680"/>
      <c r="H1567" s="911"/>
      <c r="I1567" s="912"/>
      <c r="J1567" s="912"/>
      <c r="K1567" s="913"/>
      <c r="L1567" s="913"/>
      <c r="M1567" s="913"/>
      <c r="N1567" s="913"/>
      <c r="O1567" s="913"/>
      <c r="P1567" s="913"/>
      <c r="Q1567" s="576"/>
      <c r="R1567" s="576"/>
      <c r="S1567" s="576"/>
      <c r="T1567" s="576"/>
      <c r="U1567" s="576"/>
      <c r="V1567" s="576"/>
      <c r="W1567" s="576"/>
      <c r="X1567" s="576"/>
      <c r="Y1567" s="576"/>
      <c r="Z1567" s="576"/>
    </row>
    <row r="1568" spans="1:26" ht="18.75">
      <c r="A1568" s="680"/>
      <c r="B1568" s="680"/>
      <c r="C1568" s="680"/>
      <c r="D1568" s="910"/>
      <c r="E1568" s="680"/>
      <c r="F1568" s="680"/>
      <c r="G1568" s="680"/>
      <c r="H1568" s="911"/>
      <c r="I1568" s="912"/>
      <c r="J1568" s="912"/>
      <c r="K1568" s="913"/>
      <c r="L1568" s="913"/>
      <c r="M1568" s="913"/>
      <c r="N1568" s="913"/>
      <c r="O1568" s="913"/>
      <c r="P1568" s="913"/>
      <c r="Q1568" s="576"/>
      <c r="R1568" s="576"/>
      <c r="S1568" s="576"/>
      <c r="T1568" s="576"/>
      <c r="U1568" s="576"/>
      <c r="V1568" s="576"/>
      <c r="W1568" s="576"/>
      <c r="X1568" s="576"/>
      <c r="Y1568" s="576"/>
      <c r="Z1568" s="576"/>
    </row>
    <row r="1569" spans="1:26" ht="18.75">
      <c r="A1569" s="680"/>
      <c r="B1569" s="680"/>
      <c r="C1569" s="680"/>
      <c r="D1569" s="910"/>
      <c r="E1569" s="680"/>
      <c r="F1569" s="680"/>
      <c r="G1569" s="680"/>
      <c r="H1569" s="911"/>
      <c r="I1569" s="912"/>
      <c r="J1569" s="912"/>
      <c r="K1569" s="913"/>
      <c r="L1569" s="913"/>
      <c r="M1569" s="913"/>
      <c r="N1569" s="913"/>
      <c r="O1569" s="913"/>
      <c r="P1569" s="913"/>
      <c r="Q1569" s="576"/>
      <c r="R1569" s="576"/>
      <c r="S1569" s="576"/>
      <c r="T1569" s="576"/>
      <c r="U1569" s="576"/>
      <c r="V1569" s="576"/>
      <c r="W1569" s="576"/>
      <c r="X1569" s="576"/>
      <c r="Y1569" s="576"/>
      <c r="Z1569" s="576"/>
    </row>
    <row r="1570" spans="1:26" ht="18.75">
      <c r="A1570" s="680"/>
      <c r="B1570" s="680"/>
      <c r="C1570" s="680"/>
      <c r="D1570" s="910"/>
      <c r="E1570" s="680"/>
      <c r="F1570" s="680"/>
      <c r="G1570" s="680"/>
      <c r="H1570" s="911"/>
      <c r="I1570" s="912"/>
      <c r="J1570" s="912"/>
      <c r="K1570" s="913"/>
      <c r="L1570" s="913"/>
      <c r="M1570" s="913"/>
      <c r="N1570" s="913"/>
      <c r="O1570" s="913"/>
      <c r="P1570" s="913"/>
      <c r="Q1570" s="576"/>
      <c r="R1570" s="576"/>
      <c r="S1570" s="576"/>
      <c r="T1570" s="576"/>
      <c r="U1570" s="576"/>
      <c r="V1570" s="576"/>
      <c r="W1570" s="576"/>
      <c r="X1570" s="576"/>
      <c r="Y1570" s="576"/>
      <c r="Z1570" s="576"/>
    </row>
    <row r="1571" spans="1:26" ht="18.75">
      <c r="A1571" s="680"/>
      <c r="B1571" s="680"/>
      <c r="C1571" s="680"/>
      <c r="D1571" s="910"/>
      <c r="E1571" s="680"/>
      <c r="F1571" s="680"/>
      <c r="G1571" s="680"/>
      <c r="H1571" s="911"/>
      <c r="I1571" s="912"/>
      <c r="J1571" s="912"/>
      <c r="K1571" s="913"/>
      <c r="L1571" s="913"/>
      <c r="M1571" s="913"/>
      <c r="N1571" s="913"/>
      <c r="O1571" s="913"/>
      <c r="P1571" s="913"/>
      <c r="Q1571" s="576"/>
      <c r="R1571" s="576"/>
      <c r="S1571" s="576"/>
      <c r="T1571" s="576"/>
      <c r="U1571" s="576"/>
      <c r="V1571" s="576"/>
      <c r="W1571" s="576"/>
      <c r="X1571" s="576"/>
      <c r="Y1571" s="576"/>
      <c r="Z1571" s="576"/>
    </row>
    <row r="1572" spans="1:26" ht="18.75">
      <c r="A1572" s="680"/>
      <c r="B1572" s="680"/>
      <c r="C1572" s="680"/>
      <c r="D1572" s="910"/>
      <c r="E1572" s="680"/>
      <c r="F1572" s="680"/>
      <c r="G1572" s="680"/>
      <c r="H1572" s="911"/>
      <c r="I1572" s="912"/>
      <c r="J1572" s="912"/>
      <c r="K1572" s="913"/>
      <c r="L1572" s="913"/>
      <c r="M1572" s="913"/>
      <c r="N1572" s="913"/>
      <c r="O1572" s="913"/>
      <c r="P1572" s="913"/>
      <c r="Q1572" s="576"/>
      <c r="R1572" s="576"/>
      <c r="S1572" s="576"/>
      <c r="T1572" s="576"/>
      <c r="U1572" s="576"/>
      <c r="V1572" s="576"/>
      <c r="W1572" s="576"/>
      <c r="X1572" s="576"/>
      <c r="Y1572" s="576"/>
      <c r="Z1572" s="576"/>
    </row>
    <row r="1573" spans="1:26" ht="18.75">
      <c r="A1573" s="680"/>
      <c r="B1573" s="680"/>
      <c r="C1573" s="680"/>
      <c r="D1573" s="910"/>
      <c r="E1573" s="680"/>
      <c r="F1573" s="680"/>
      <c r="G1573" s="680"/>
      <c r="H1573" s="911"/>
      <c r="I1573" s="912"/>
      <c r="J1573" s="912"/>
      <c r="K1573" s="913"/>
      <c r="L1573" s="913"/>
      <c r="M1573" s="913"/>
      <c r="N1573" s="913"/>
      <c r="O1573" s="913"/>
      <c r="P1573" s="913"/>
      <c r="Q1573" s="576"/>
      <c r="R1573" s="576"/>
      <c r="S1573" s="576"/>
      <c r="T1573" s="576"/>
      <c r="U1573" s="576"/>
      <c r="V1573" s="576"/>
      <c r="W1573" s="576"/>
      <c r="X1573" s="576"/>
      <c r="Y1573" s="576"/>
      <c r="Z1573" s="576"/>
    </row>
    <row r="1574" spans="1:26" ht="18.75">
      <c r="A1574" s="680"/>
      <c r="B1574" s="680"/>
      <c r="C1574" s="680"/>
      <c r="D1574" s="910"/>
      <c r="E1574" s="680"/>
      <c r="F1574" s="680"/>
      <c r="G1574" s="680"/>
      <c r="H1574" s="911"/>
      <c r="I1574" s="912"/>
      <c r="J1574" s="912"/>
      <c r="K1574" s="913"/>
      <c r="L1574" s="913"/>
      <c r="M1574" s="913"/>
      <c r="N1574" s="913"/>
      <c r="O1574" s="913"/>
      <c r="P1574" s="913"/>
      <c r="Q1574" s="576"/>
      <c r="R1574" s="576"/>
      <c r="S1574" s="576"/>
      <c r="T1574" s="576"/>
      <c r="U1574" s="576"/>
      <c r="V1574" s="576"/>
      <c r="W1574" s="576"/>
      <c r="X1574" s="576"/>
      <c r="Y1574" s="576"/>
      <c r="Z1574" s="576"/>
    </row>
    <row r="1575" spans="1:26" ht="18.75">
      <c r="A1575" s="680"/>
      <c r="B1575" s="680"/>
      <c r="C1575" s="680"/>
      <c r="D1575" s="910"/>
      <c r="E1575" s="680"/>
      <c r="F1575" s="680"/>
      <c r="G1575" s="680"/>
      <c r="H1575" s="911"/>
      <c r="I1575" s="912"/>
      <c r="J1575" s="912"/>
      <c r="K1575" s="913"/>
      <c r="L1575" s="913"/>
      <c r="M1575" s="913"/>
      <c r="N1575" s="913"/>
      <c r="O1575" s="913"/>
      <c r="P1575" s="913"/>
      <c r="Q1575" s="576"/>
      <c r="R1575" s="576"/>
      <c r="S1575" s="576"/>
      <c r="T1575" s="576"/>
      <c r="U1575" s="576"/>
      <c r="V1575" s="576"/>
      <c r="W1575" s="576"/>
      <c r="X1575" s="576"/>
      <c r="Y1575" s="576"/>
      <c r="Z1575" s="576"/>
    </row>
    <row r="1576" spans="1:26" ht="18.75">
      <c r="A1576" s="680"/>
      <c r="B1576" s="680"/>
      <c r="C1576" s="680"/>
      <c r="D1576" s="910"/>
      <c r="E1576" s="680"/>
      <c r="F1576" s="680"/>
      <c r="G1576" s="680"/>
      <c r="H1576" s="911"/>
      <c r="I1576" s="912"/>
      <c r="J1576" s="912"/>
      <c r="K1576" s="913"/>
      <c r="L1576" s="913"/>
      <c r="M1576" s="913"/>
      <c r="N1576" s="913"/>
      <c r="O1576" s="913"/>
      <c r="P1576" s="913"/>
      <c r="Q1576" s="576"/>
      <c r="R1576" s="576"/>
      <c r="S1576" s="576"/>
      <c r="T1576" s="576"/>
      <c r="U1576" s="576"/>
      <c r="V1576" s="576"/>
      <c r="W1576" s="576"/>
      <c r="X1576" s="576"/>
      <c r="Y1576" s="576"/>
      <c r="Z1576" s="576"/>
    </row>
    <row r="1577" spans="1:26" ht="18.75">
      <c r="A1577" s="680"/>
      <c r="B1577" s="680"/>
      <c r="C1577" s="680"/>
      <c r="D1577" s="910"/>
      <c r="E1577" s="680"/>
      <c r="F1577" s="680"/>
      <c r="G1577" s="680"/>
      <c r="H1577" s="911"/>
      <c r="I1577" s="912"/>
      <c r="J1577" s="912"/>
      <c r="K1577" s="913"/>
      <c r="L1577" s="913"/>
      <c r="M1577" s="913"/>
      <c r="N1577" s="913"/>
      <c r="O1577" s="913"/>
      <c r="P1577" s="913"/>
      <c r="Q1577" s="576"/>
      <c r="R1577" s="576"/>
      <c r="S1577" s="576"/>
      <c r="T1577" s="576"/>
      <c r="U1577" s="576"/>
      <c r="V1577" s="576"/>
      <c r="W1577" s="576"/>
      <c r="X1577" s="576"/>
      <c r="Y1577" s="576"/>
      <c r="Z1577" s="576"/>
    </row>
    <row r="1578" spans="1:26" ht="18.75">
      <c r="A1578" s="680"/>
      <c r="B1578" s="680"/>
      <c r="C1578" s="680"/>
      <c r="D1578" s="910"/>
      <c r="E1578" s="680"/>
      <c r="F1578" s="680"/>
      <c r="G1578" s="680"/>
      <c r="H1578" s="911"/>
      <c r="I1578" s="912"/>
      <c r="J1578" s="912"/>
      <c r="K1578" s="913"/>
      <c r="L1578" s="913"/>
      <c r="M1578" s="913"/>
      <c r="N1578" s="913"/>
      <c r="O1578" s="913"/>
      <c r="P1578" s="913"/>
      <c r="Q1578" s="576"/>
      <c r="R1578" s="576"/>
      <c r="S1578" s="576"/>
      <c r="T1578" s="576"/>
      <c r="U1578" s="576"/>
      <c r="V1578" s="576"/>
      <c r="W1578" s="576"/>
      <c r="X1578" s="576"/>
      <c r="Y1578" s="576"/>
      <c r="Z1578" s="576"/>
    </row>
    <row r="1579" spans="1:26" ht="18.75">
      <c r="A1579" s="680"/>
      <c r="B1579" s="680"/>
      <c r="C1579" s="680"/>
      <c r="D1579" s="910"/>
      <c r="E1579" s="680"/>
      <c r="F1579" s="680"/>
      <c r="G1579" s="680"/>
      <c r="H1579" s="911"/>
      <c r="I1579" s="912"/>
      <c r="J1579" s="912"/>
      <c r="K1579" s="913"/>
      <c r="L1579" s="913"/>
      <c r="M1579" s="913"/>
      <c r="N1579" s="913"/>
      <c r="O1579" s="913"/>
      <c r="P1579" s="913"/>
      <c r="Q1579" s="576"/>
      <c r="R1579" s="576"/>
      <c r="S1579" s="576"/>
      <c r="T1579" s="576"/>
      <c r="U1579" s="576"/>
      <c r="V1579" s="576"/>
      <c r="W1579" s="576"/>
      <c r="X1579" s="576"/>
      <c r="Y1579" s="576"/>
      <c r="Z1579" s="576"/>
    </row>
    <row r="1580" spans="1:26" ht="18.75">
      <c r="A1580" s="680"/>
      <c r="B1580" s="680"/>
      <c r="C1580" s="680"/>
      <c r="D1580" s="910"/>
      <c r="E1580" s="680"/>
      <c r="F1580" s="680"/>
      <c r="G1580" s="680"/>
      <c r="H1580" s="911"/>
      <c r="I1580" s="912"/>
      <c r="J1580" s="912"/>
      <c r="K1580" s="913"/>
      <c r="L1580" s="913"/>
      <c r="M1580" s="913"/>
      <c r="N1580" s="913"/>
      <c r="O1580" s="913"/>
      <c r="P1580" s="913"/>
      <c r="Q1580" s="576"/>
      <c r="R1580" s="576"/>
      <c r="S1580" s="576"/>
      <c r="T1580" s="576"/>
      <c r="U1580" s="576"/>
      <c r="V1580" s="576"/>
      <c r="W1580" s="576"/>
      <c r="X1580" s="576"/>
      <c r="Y1580" s="576"/>
      <c r="Z1580" s="576"/>
    </row>
    <row r="1581" spans="1:26" ht="18.75">
      <c r="A1581" s="680"/>
      <c r="B1581" s="680"/>
      <c r="C1581" s="680"/>
      <c r="D1581" s="910"/>
      <c r="E1581" s="680"/>
      <c r="F1581" s="680"/>
      <c r="G1581" s="680"/>
      <c r="H1581" s="911"/>
      <c r="I1581" s="912"/>
      <c r="J1581" s="912"/>
      <c r="K1581" s="913"/>
      <c r="L1581" s="913"/>
      <c r="M1581" s="913"/>
      <c r="N1581" s="913"/>
      <c r="O1581" s="913"/>
      <c r="P1581" s="913"/>
      <c r="Q1581" s="576"/>
      <c r="R1581" s="576"/>
      <c r="S1581" s="576"/>
      <c r="T1581" s="576"/>
      <c r="U1581" s="576"/>
      <c r="V1581" s="576"/>
      <c r="W1581" s="576"/>
      <c r="X1581" s="576"/>
      <c r="Y1581" s="576"/>
      <c r="Z1581" s="576"/>
    </row>
    <row r="1582" spans="1:26" ht="18.75">
      <c r="A1582" s="680"/>
      <c r="B1582" s="680"/>
      <c r="C1582" s="680"/>
      <c r="D1582" s="910"/>
      <c r="E1582" s="680"/>
      <c r="F1582" s="680"/>
      <c r="G1582" s="680"/>
      <c r="H1582" s="911"/>
      <c r="I1582" s="912"/>
      <c r="J1582" s="912"/>
      <c r="K1582" s="913"/>
      <c r="L1582" s="913"/>
      <c r="M1582" s="913"/>
      <c r="N1582" s="913"/>
      <c r="O1582" s="913"/>
      <c r="P1582" s="913"/>
      <c r="Q1582" s="576"/>
      <c r="R1582" s="576"/>
      <c r="S1582" s="576"/>
      <c r="T1582" s="576"/>
      <c r="U1582" s="576"/>
      <c r="V1582" s="576"/>
      <c r="W1582" s="576"/>
      <c r="X1582" s="576"/>
      <c r="Y1582" s="576"/>
      <c r="Z1582" s="576"/>
    </row>
    <row r="1583" spans="1:26" ht="18.75">
      <c r="A1583" s="680"/>
      <c r="B1583" s="680"/>
      <c r="C1583" s="680"/>
      <c r="D1583" s="910"/>
      <c r="E1583" s="680"/>
      <c r="F1583" s="680"/>
      <c r="G1583" s="680"/>
      <c r="H1583" s="911"/>
      <c r="I1583" s="912"/>
      <c r="J1583" s="912"/>
      <c r="K1583" s="913"/>
      <c r="L1583" s="913"/>
      <c r="M1583" s="913"/>
      <c r="N1583" s="913"/>
      <c r="O1583" s="913"/>
      <c r="P1583" s="913"/>
      <c r="Q1583" s="576"/>
      <c r="R1583" s="576"/>
      <c r="S1583" s="576"/>
      <c r="T1583" s="576"/>
      <c r="U1583" s="576"/>
      <c r="V1583" s="576"/>
      <c r="W1583" s="576"/>
      <c r="X1583" s="576"/>
      <c r="Y1583" s="576"/>
      <c r="Z1583" s="576"/>
    </row>
    <row r="1584" spans="1:26" ht="18.75">
      <c r="A1584" s="680"/>
      <c r="B1584" s="680"/>
      <c r="C1584" s="680"/>
      <c r="D1584" s="910"/>
      <c r="E1584" s="680"/>
      <c r="F1584" s="680"/>
      <c r="G1584" s="680"/>
      <c r="H1584" s="911"/>
      <c r="I1584" s="912"/>
      <c r="J1584" s="912"/>
      <c r="K1584" s="913"/>
      <c r="L1584" s="913"/>
      <c r="M1584" s="913"/>
      <c r="N1584" s="913"/>
      <c r="O1584" s="913"/>
      <c r="P1584" s="913"/>
      <c r="Q1584" s="576"/>
      <c r="R1584" s="576"/>
      <c r="S1584" s="576"/>
      <c r="T1584" s="576"/>
      <c r="U1584" s="576"/>
      <c r="V1584" s="576"/>
      <c r="W1584" s="576"/>
      <c r="X1584" s="576"/>
      <c r="Y1584" s="576"/>
      <c r="Z1584" s="576"/>
    </row>
    <row r="1585" spans="1:26" ht="18.75">
      <c r="A1585" s="680"/>
      <c r="B1585" s="680"/>
      <c r="C1585" s="680"/>
      <c r="D1585" s="910"/>
      <c r="E1585" s="680"/>
      <c r="F1585" s="680"/>
      <c r="G1585" s="680"/>
      <c r="H1585" s="911"/>
      <c r="I1585" s="912"/>
      <c r="J1585" s="912"/>
      <c r="K1585" s="913"/>
      <c r="L1585" s="913"/>
      <c r="M1585" s="913"/>
      <c r="N1585" s="913"/>
      <c r="O1585" s="913"/>
      <c r="P1585" s="913"/>
      <c r="Q1585" s="576"/>
      <c r="R1585" s="576"/>
      <c r="S1585" s="576"/>
      <c r="T1585" s="576"/>
      <c r="U1585" s="576"/>
      <c r="V1585" s="576"/>
      <c r="W1585" s="576"/>
      <c r="X1585" s="576"/>
      <c r="Y1585" s="576"/>
      <c r="Z1585" s="576"/>
    </row>
    <row r="1586" spans="1:26" ht="18.75">
      <c r="A1586" s="680"/>
      <c r="B1586" s="680"/>
      <c r="C1586" s="680"/>
      <c r="D1586" s="910"/>
      <c r="E1586" s="680"/>
      <c r="F1586" s="680"/>
      <c r="G1586" s="680"/>
      <c r="H1586" s="911"/>
      <c r="I1586" s="912"/>
      <c r="J1586" s="912"/>
      <c r="K1586" s="913"/>
      <c r="L1586" s="913"/>
      <c r="M1586" s="913"/>
      <c r="N1586" s="913"/>
      <c r="O1586" s="913"/>
      <c r="P1586" s="913"/>
      <c r="Q1586" s="576"/>
      <c r="R1586" s="576"/>
      <c r="S1586" s="576"/>
      <c r="T1586" s="576"/>
      <c r="U1586" s="576"/>
      <c r="V1586" s="576"/>
      <c r="W1586" s="576"/>
      <c r="X1586" s="576"/>
      <c r="Y1586" s="576"/>
      <c r="Z1586" s="576"/>
    </row>
    <row r="1587" spans="1:26" ht="18.75">
      <c r="A1587" s="680"/>
      <c r="B1587" s="680"/>
      <c r="C1587" s="680"/>
      <c r="D1587" s="910"/>
      <c r="E1587" s="680"/>
      <c r="F1587" s="680"/>
      <c r="G1587" s="680"/>
      <c r="H1587" s="911"/>
      <c r="I1587" s="912"/>
      <c r="J1587" s="912"/>
      <c r="K1587" s="913"/>
      <c r="L1587" s="913"/>
      <c r="M1587" s="913"/>
      <c r="N1587" s="913"/>
      <c r="O1587" s="913"/>
      <c r="P1587" s="913"/>
      <c r="Q1587" s="576"/>
      <c r="R1587" s="576"/>
      <c r="S1587" s="576"/>
      <c r="T1587" s="576"/>
      <c r="U1587" s="576"/>
      <c r="V1587" s="576"/>
      <c r="W1587" s="576"/>
      <c r="X1587" s="576"/>
      <c r="Y1587" s="576"/>
      <c r="Z1587" s="576"/>
    </row>
    <row r="1588" spans="1:26" ht="18.75">
      <c r="A1588" s="680"/>
      <c r="B1588" s="680"/>
      <c r="C1588" s="680"/>
      <c r="D1588" s="910"/>
      <c r="E1588" s="680"/>
      <c r="F1588" s="680"/>
      <c r="G1588" s="680"/>
      <c r="H1588" s="911"/>
      <c r="I1588" s="912"/>
      <c r="J1588" s="912"/>
      <c r="K1588" s="913"/>
      <c r="L1588" s="913"/>
      <c r="M1588" s="913"/>
      <c r="N1588" s="913"/>
      <c r="O1588" s="913"/>
      <c r="P1588" s="913"/>
      <c r="Q1588" s="576"/>
      <c r="R1588" s="576"/>
      <c r="S1588" s="576"/>
      <c r="T1588" s="576"/>
      <c r="U1588" s="576"/>
      <c r="V1588" s="576"/>
      <c r="W1588" s="576"/>
      <c r="X1588" s="576"/>
      <c r="Y1588" s="576"/>
      <c r="Z1588" s="576"/>
    </row>
    <row r="1589" spans="1:26" ht="18.75">
      <c r="A1589" s="680"/>
      <c r="B1589" s="680"/>
      <c r="C1589" s="680"/>
      <c r="D1589" s="910"/>
      <c r="E1589" s="680"/>
      <c r="F1589" s="680"/>
      <c r="G1589" s="680"/>
      <c r="H1589" s="911"/>
      <c r="I1589" s="912"/>
      <c r="J1589" s="912"/>
      <c r="K1589" s="913"/>
      <c r="L1589" s="913"/>
      <c r="M1589" s="913"/>
      <c r="N1589" s="913"/>
      <c r="O1589" s="913"/>
      <c r="P1589" s="913"/>
      <c r="Q1589" s="576"/>
      <c r="R1589" s="576"/>
      <c r="S1589" s="576"/>
      <c r="T1589" s="576"/>
      <c r="U1589" s="576"/>
      <c r="V1589" s="576"/>
      <c r="W1589" s="576"/>
      <c r="X1589" s="576"/>
      <c r="Y1589" s="576"/>
      <c r="Z1589" s="576"/>
    </row>
    <row r="1590" spans="1:26" ht="18.75">
      <c r="A1590" s="680"/>
      <c r="B1590" s="680"/>
      <c r="C1590" s="680"/>
      <c r="D1590" s="910"/>
      <c r="E1590" s="680"/>
      <c r="F1590" s="680"/>
      <c r="G1590" s="680"/>
      <c r="H1590" s="911"/>
      <c r="I1590" s="912"/>
      <c r="J1590" s="912"/>
      <c r="K1590" s="913"/>
      <c r="L1590" s="913"/>
      <c r="M1590" s="913"/>
      <c r="N1590" s="913"/>
      <c r="O1590" s="913"/>
      <c r="P1590" s="913"/>
      <c r="Q1590" s="576"/>
      <c r="R1590" s="576"/>
      <c r="S1590" s="576"/>
      <c r="T1590" s="576"/>
      <c r="U1590" s="576"/>
      <c r="V1590" s="576"/>
      <c r="W1590" s="576"/>
      <c r="X1590" s="576"/>
      <c r="Y1590" s="576"/>
      <c r="Z1590" s="576"/>
    </row>
    <row r="1591" spans="1:26" ht="18.75">
      <c r="A1591" s="680"/>
      <c r="B1591" s="680"/>
      <c r="C1591" s="680"/>
      <c r="D1591" s="910"/>
      <c r="E1591" s="680"/>
      <c r="F1591" s="680"/>
      <c r="G1591" s="680"/>
      <c r="H1591" s="911"/>
      <c r="I1591" s="912"/>
      <c r="J1591" s="912"/>
      <c r="K1591" s="913"/>
      <c r="L1591" s="913"/>
      <c r="M1591" s="913"/>
      <c r="N1591" s="913"/>
      <c r="O1591" s="913"/>
      <c r="P1591" s="913"/>
      <c r="Q1591" s="576"/>
      <c r="R1591" s="576"/>
      <c r="S1591" s="576"/>
      <c r="T1591" s="576"/>
      <c r="U1591" s="576"/>
      <c r="V1591" s="576"/>
      <c r="W1591" s="576"/>
      <c r="X1591" s="576"/>
      <c r="Y1591" s="576"/>
      <c r="Z1591" s="576"/>
    </row>
    <row r="1592" spans="1:26" ht="18.75">
      <c r="A1592" s="680"/>
      <c r="B1592" s="680"/>
      <c r="C1592" s="680"/>
      <c r="D1592" s="910"/>
      <c r="E1592" s="680"/>
      <c r="F1592" s="680"/>
      <c r="G1592" s="680"/>
      <c r="H1592" s="911"/>
      <c r="I1592" s="912"/>
      <c r="J1592" s="912"/>
      <c r="K1592" s="913"/>
      <c r="L1592" s="913"/>
      <c r="M1592" s="913"/>
      <c r="N1592" s="913"/>
      <c r="O1592" s="913"/>
      <c r="P1592" s="913"/>
      <c r="Q1592" s="576"/>
      <c r="R1592" s="576"/>
      <c r="S1592" s="576"/>
      <c r="T1592" s="576"/>
      <c r="U1592" s="576"/>
      <c r="V1592" s="576"/>
      <c r="W1592" s="576"/>
      <c r="X1592" s="576"/>
      <c r="Y1592" s="576"/>
      <c r="Z1592" s="576"/>
    </row>
    <row r="1593" spans="1:26" ht="18.75">
      <c r="A1593" s="680"/>
      <c r="B1593" s="680"/>
      <c r="C1593" s="680"/>
      <c r="D1593" s="910"/>
      <c r="E1593" s="680"/>
      <c r="F1593" s="680"/>
      <c r="G1593" s="680"/>
      <c r="H1593" s="911"/>
      <c r="I1593" s="912"/>
      <c r="J1593" s="912"/>
      <c r="K1593" s="913"/>
      <c r="L1593" s="913"/>
      <c r="M1593" s="913"/>
      <c r="N1593" s="913"/>
      <c r="O1593" s="913"/>
      <c r="P1593" s="913"/>
      <c r="Q1593" s="576"/>
      <c r="R1593" s="576"/>
      <c r="S1593" s="576"/>
      <c r="T1593" s="576"/>
      <c r="U1593" s="576"/>
      <c r="V1593" s="576"/>
      <c r="W1593" s="576"/>
      <c r="X1593" s="576"/>
      <c r="Y1593" s="576"/>
      <c r="Z1593" s="576"/>
    </row>
    <row r="1594" spans="1:26" ht="18.75">
      <c r="A1594" s="680"/>
      <c r="B1594" s="680"/>
      <c r="C1594" s="680"/>
      <c r="D1594" s="910"/>
      <c r="E1594" s="680"/>
      <c r="F1594" s="680"/>
      <c r="G1594" s="680"/>
      <c r="H1594" s="911"/>
      <c r="I1594" s="912"/>
      <c r="J1594" s="912"/>
      <c r="K1594" s="913"/>
      <c r="L1594" s="913"/>
      <c r="M1594" s="913"/>
      <c r="N1594" s="913"/>
      <c r="O1594" s="913"/>
      <c r="P1594" s="913"/>
      <c r="Q1594" s="576"/>
      <c r="R1594" s="576"/>
      <c r="S1594" s="576"/>
      <c r="T1594" s="576"/>
      <c r="U1594" s="576"/>
      <c r="V1594" s="576"/>
      <c r="W1594" s="576"/>
      <c r="X1594" s="576"/>
      <c r="Y1594" s="576"/>
      <c r="Z1594" s="576"/>
    </row>
    <row r="1595" spans="1:26" ht="18.75">
      <c r="A1595" s="680"/>
      <c r="B1595" s="680"/>
      <c r="C1595" s="680"/>
      <c r="D1595" s="910"/>
      <c r="E1595" s="680"/>
      <c r="F1595" s="680"/>
      <c r="G1595" s="680"/>
      <c r="H1595" s="911"/>
      <c r="I1595" s="912"/>
      <c r="J1595" s="912"/>
      <c r="K1595" s="913"/>
      <c r="L1595" s="913"/>
      <c r="M1595" s="913"/>
      <c r="N1595" s="913"/>
      <c r="O1595" s="913"/>
      <c r="P1595" s="913"/>
      <c r="Q1595" s="576"/>
      <c r="R1595" s="576"/>
      <c r="S1595" s="576"/>
      <c r="T1595" s="576"/>
      <c r="U1595" s="576"/>
      <c r="V1595" s="576"/>
      <c r="W1595" s="576"/>
      <c r="X1595" s="576"/>
      <c r="Y1595" s="576"/>
      <c r="Z1595" s="576"/>
    </row>
    <row r="1596" spans="1:26" ht="18.75">
      <c r="A1596" s="680"/>
      <c r="B1596" s="680"/>
      <c r="C1596" s="680"/>
      <c r="D1596" s="910"/>
      <c r="E1596" s="680"/>
      <c r="F1596" s="680"/>
      <c r="G1596" s="680"/>
      <c r="H1596" s="911"/>
      <c r="I1596" s="912"/>
      <c r="J1596" s="912"/>
      <c r="K1596" s="913"/>
      <c r="L1596" s="913"/>
      <c r="M1596" s="913"/>
      <c r="N1596" s="913"/>
      <c r="O1596" s="913"/>
      <c r="P1596" s="913"/>
      <c r="Q1596" s="576"/>
      <c r="R1596" s="576"/>
      <c r="S1596" s="576"/>
      <c r="T1596" s="576"/>
      <c r="U1596" s="576"/>
      <c r="V1596" s="576"/>
      <c r="W1596" s="576"/>
      <c r="X1596" s="576"/>
      <c r="Y1596" s="576"/>
      <c r="Z1596" s="576"/>
    </row>
    <row r="1597" spans="1:26" ht="18.75">
      <c r="A1597" s="680"/>
      <c r="B1597" s="680"/>
      <c r="C1597" s="680"/>
      <c r="D1597" s="910"/>
      <c r="E1597" s="680"/>
      <c r="F1597" s="680"/>
      <c r="G1597" s="680"/>
      <c r="H1597" s="911"/>
      <c r="I1597" s="912"/>
      <c r="J1597" s="912"/>
      <c r="K1597" s="913"/>
      <c r="L1597" s="913"/>
      <c r="M1597" s="913"/>
      <c r="N1597" s="913"/>
      <c r="O1597" s="913"/>
      <c r="P1597" s="913"/>
      <c r="Q1597" s="576"/>
      <c r="R1597" s="576"/>
      <c r="S1597" s="576"/>
      <c r="T1597" s="576"/>
      <c r="U1597" s="576"/>
      <c r="V1597" s="576"/>
      <c r="W1597" s="576"/>
      <c r="X1597" s="576"/>
      <c r="Y1597" s="576"/>
      <c r="Z1597" s="576"/>
    </row>
    <row r="1598" spans="1:26" ht="18.75">
      <c r="A1598" s="680"/>
      <c r="B1598" s="680"/>
      <c r="C1598" s="680"/>
      <c r="D1598" s="910"/>
      <c r="E1598" s="680"/>
      <c r="F1598" s="680"/>
      <c r="G1598" s="680"/>
      <c r="H1598" s="911"/>
      <c r="I1598" s="912"/>
      <c r="J1598" s="912"/>
      <c r="K1598" s="913"/>
      <c r="L1598" s="913"/>
      <c r="M1598" s="913"/>
      <c r="N1598" s="913"/>
      <c r="O1598" s="913"/>
      <c r="P1598" s="913"/>
      <c r="Q1598" s="576"/>
      <c r="R1598" s="576"/>
      <c r="S1598" s="576"/>
      <c r="T1598" s="576"/>
      <c r="U1598" s="576"/>
      <c r="V1598" s="576"/>
      <c r="W1598" s="576"/>
      <c r="X1598" s="576"/>
      <c r="Y1598" s="576"/>
      <c r="Z1598" s="576"/>
    </row>
    <row r="1599" spans="1:26" ht="18.75">
      <c r="A1599" s="680"/>
      <c r="B1599" s="680"/>
      <c r="C1599" s="680"/>
      <c r="D1599" s="910"/>
      <c r="E1599" s="680"/>
      <c r="F1599" s="680"/>
      <c r="G1599" s="680"/>
      <c r="H1599" s="911"/>
      <c r="I1599" s="912"/>
      <c r="J1599" s="912"/>
      <c r="K1599" s="913"/>
      <c r="L1599" s="913"/>
      <c r="M1599" s="913"/>
      <c r="N1599" s="913"/>
      <c r="O1599" s="913"/>
      <c r="P1599" s="913"/>
      <c r="Q1599" s="576"/>
      <c r="R1599" s="576"/>
      <c r="S1599" s="576"/>
      <c r="T1599" s="576"/>
      <c r="U1599" s="576"/>
      <c r="V1599" s="576"/>
      <c r="W1599" s="576"/>
      <c r="X1599" s="576"/>
      <c r="Y1599" s="576"/>
      <c r="Z1599" s="576"/>
    </row>
    <row r="1600" spans="1:26" ht="18.75">
      <c r="A1600" s="680"/>
      <c r="B1600" s="680"/>
      <c r="C1600" s="680"/>
      <c r="D1600" s="910"/>
      <c r="E1600" s="680"/>
      <c r="F1600" s="680"/>
      <c r="G1600" s="680"/>
      <c r="H1600" s="911"/>
      <c r="I1600" s="912"/>
      <c r="J1600" s="912"/>
      <c r="K1600" s="913"/>
      <c r="L1600" s="913"/>
      <c r="M1600" s="913"/>
      <c r="N1600" s="913"/>
      <c r="O1600" s="913"/>
      <c r="P1600" s="913"/>
      <c r="Q1600" s="576"/>
      <c r="R1600" s="576"/>
      <c r="S1600" s="576"/>
      <c r="T1600" s="576"/>
      <c r="U1600" s="576"/>
      <c r="V1600" s="576"/>
      <c r="W1600" s="576"/>
      <c r="X1600" s="576"/>
      <c r="Y1600" s="576"/>
      <c r="Z1600" s="576"/>
    </row>
    <row r="1601" spans="1:26" ht="18.75">
      <c r="A1601" s="680"/>
      <c r="B1601" s="680"/>
      <c r="C1601" s="680"/>
      <c r="D1601" s="910"/>
      <c r="E1601" s="680"/>
      <c r="F1601" s="680"/>
      <c r="G1601" s="680"/>
      <c r="H1601" s="911"/>
      <c r="I1601" s="912"/>
      <c r="J1601" s="912"/>
      <c r="K1601" s="913"/>
      <c r="L1601" s="913"/>
      <c r="M1601" s="913"/>
      <c r="N1601" s="913"/>
      <c r="O1601" s="913"/>
      <c r="P1601" s="913"/>
      <c r="Q1601" s="576"/>
      <c r="R1601" s="576"/>
      <c r="S1601" s="576"/>
      <c r="T1601" s="576"/>
      <c r="U1601" s="576"/>
      <c r="V1601" s="576"/>
      <c r="W1601" s="576"/>
      <c r="X1601" s="576"/>
      <c r="Y1601" s="576"/>
      <c r="Z1601" s="576"/>
    </row>
    <row r="1602" spans="1:26" ht="18.75">
      <c r="A1602" s="680"/>
      <c r="B1602" s="680"/>
      <c r="C1602" s="680"/>
      <c r="D1602" s="910"/>
      <c r="E1602" s="680"/>
      <c r="F1602" s="680"/>
      <c r="G1602" s="680"/>
      <c r="H1602" s="911"/>
      <c r="I1602" s="912"/>
      <c r="J1602" s="912"/>
      <c r="K1602" s="913"/>
      <c r="L1602" s="913"/>
      <c r="M1602" s="913"/>
      <c r="N1602" s="913"/>
      <c r="O1602" s="913"/>
      <c r="P1602" s="913"/>
      <c r="Q1602" s="576"/>
      <c r="R1602" s="576"/>
      <c r="S1602" s="576"/>
      <c r="T1602" s="576"/>
      <c r="U1602" s="576"/>
      <c r="V1602" s="576"/>
      <c r="W1602" s="576"/>
      <c r="X1602" s="576"/>
      <c r="Y1602" s="576"/>
      <c r="Z1602" s="576"/>
    </row>
    <row r="1603" spans="1:26" ht="18.75">
      <c r="A1603" s="680"/>
      <c r="B1603" s="680"/>
      <c r="C1603" s="680"/>
      <c r="D1603" s="910"/>
      <c r="E1603" s="680"/>
      <c r="F1603" s="680"/>
      <c r="G1603" s="680"/>
      <c r="H1603" s="911"/>
      <c r="I1603" s="912"/>
      <c r="J1603" s="912"/>
      <c r="K1603" s="913"/>
      <c r="L1603" s="913"/>
      <c r="M1603" s="913"/>
      <c r="N1603" s="913"/>
      <c r="O1603" s="913"/>
      <c r="P1603" s="913"/>
      <c r="Q1603" s="576"/>
      <c r="R1603" s="576"/>
      <c r="S1603" s="576"/>
      <c r="T1603" s="576"/>
      <c r="U1603" s="576"/>
      <c r="V1603" s="576"/>
      <c r="W1603" s="576"/>
      <c r="X1603" s="576"/>
      <c r="Y1603" s="576"/>
      <c r="Z1603" s="576"/>
    </row>
    <row r="1604" spans="1:26" ht="18.75">
      <c r="A1604" s="680"/>
      <c r="B1604" s="680"/>
      <c r="C1604" s="680"/>
      <c r="D1604" s="910"/>
      <c r="E1604" s="680"/>
      <c r="F1604" s="680"/>
      <c r="G1604" s="680"/>
      <c r="H1604" s="911"/>
      <c r="I1604" s="912"/>
      <c r="J1604" s="912"/>
      <c r="K1604" s="913"/>
      <c r="L1604" s="913"/>
      <c r="M1604" s="913"/>
      <c r="N1604" s="913"/>
      <c r="O1604" s="913"/>
      <c r="P1604" s="913"/>
      <c r="Q1604" s="576"/>
      <c r="R1604" s="576"/>
      <c r="S1604" s="576"/>
      <c r="T1604" s="576"/>
      <c r="U1604" s="576"/>
      <c r="V1604" s="576"/>
      <c r="W1604" s="576"/>
      <c r="X1604" s="576"/>
      <c r="Y1604" s="576"/>
      <c r="Z1604" s="576"/>
    </row>
    <row r="1605" spans="1:26" ht="18.75">
      <c r="A1605" s="680"/>
      <c r="B1605" s="680"/>
      <c r="C1605" s="680"/>
      <c r="D1605" s="910"/>
      <c r="E1605" s="680"/>
      <c r="F1605" s="680"/>
      <c r="G1605" s="680"/>
      <c r="H1605" s="911"/>
      <c r="I1605" s="912"/>
      <c r="J1605" s="912"/>
      <c r="K1605" s="913"/>
      <c r="L1605" s="913"/>
      <c r="M1605" s="913"/>
      <c r="N1605" s="913"/>
      <c r="O1605" s="913"/>
      <c r="P1605" s="913"/>
      <c r="Q1605" s="576"/>
      <c r="R1605" s="576"/>
      <c r="S1605" s="576"/>
      <c r="T1605" s="576"/>
      <c r="U1605" s="576"/>
      <c r="V1605" s="576"/>
      <c r="W1605" s="576"/>
      <c r="X1605" s="576"/>
      <c r="Y1605" s="576"/>
      <c r="Z1605" s="576"/>
    </row>
    <row r="1606" spans="1:26" ht="18.75">
      <c r="A1606" s="680"/>
      <c r="B1606" s="680"/>
      <c r="C1606" s="680"/>
      <c r="D1606" s="910"/>
      <c r="E1606" s="680"/>
      <c r="F1606" s="680"/>
      <c r="G1606" s="680"/>
      <c r="H1606" s="911"/>
      <c r="I1606" s="912"/>
      <c r="J1606" s="912"/>
      <c r="K1606" s="913"/>
      <c r="L1606" s="913"/>
      <c r="M1606" s="913"/>
      <c r="N1606" s="913"/>
      <c r="O1606" s="913"/>
      <c r="P1606" s="913"/>
      <c r="Q1606" s="576"/>
      <c r="R1606" s="576"/>
      <c r="S1606" s="576"/>
      <c r="T1606" s="576"/>
      <c r="U1606" s="576"/>
      <c r="V1606" s="576"/>
      <c r="W1606" s="576"/>
      <c r="X1606" s="576"/>
      <c r="Y1606" s="576"/>
      <c r="Z1606" s="576"/>
    </row>
    <row r="1607" spans="1:26" ht="18.75">
      <c r="A1607" s="680"/>
      <c r="B1607" s="680"/>
      <c r="C1607" s="680"/>
      <c r="D1607" s="910"/>
      <c r="E1607" s="680"/>
      <c r="F1607" s="680"/>
      <c r="G1607" s="680"/>
      <c r="H1607" s="911"/>
      <c r="I1607" s="912"/>
      <c r="J1607" s="912"/>
      <c r="K1607" s="913"/>
      <c r="L1607" s="913"/>
      <c r="M1607" s="913"/>
      <c r="N1607" s="913"/>
      <c r="O1607" s="913"/>
      <c r="P1607" s="913"/>
      <c r="Q1607" s="576"/>
      <c r="R1607" s="576"/>
      <c r="S1607" s="576"/>
      <c r="T1607" s="576"/>
      <c r="U1607" s="576"/>
      <c r="V1607" s="576"/>
      <c r="W1607" s="576"/>
      <c r="X1607" s="576"/>
      <c r="Y1607" s="576"/>
      <c r="Z1607" s="576"/>
    </row>
    <row r="1608" spans="1:26" ht="18.75">
      <c r="A1608" s="680"/>
      <c r="B1608" s="680"/>
      <c r="C1608" s="680"/>
      <c r="D1608" s="910"/>
      <c r="E1608" s="680"/>
      <c r="F1608" s="680"/>
      <c r="G1608" s="680"/>
      <c r="H1608" s="911"/>
      <c r="I1608" s="912"/>
      <c r="J1608" s="912"/>
      <c r="K1608" s="913"/>
      <c r="L1608" s="913"/>
      <c r="M1608" s="913"/>
      <c r="N1608" s="913"/>
      <c r="O1608" s="913"/>
      <c r="P1608" s="913"/>
      <c r="Q1608" s="576"/>
      <c r="R1608" s="576"/>
      <c r="S1608" s="576"/>
      <c r="T1608" s="576"/>
      <c r="U1608" s="576"/>
      <c r="V1608" s="576"/>
      <c r="W1608" s="576"/>
      <c r="X1608" s="576"/>
      <c r="Y1608" s="576"/>
      <c r="Z1608" s="576"/>
    </row>
    <row r="1609" spans="1:26" ht="18.75">
      <c r="A1609" s="680"/>
      <c r="B1609" s="680"/>
      <c r="C1609" s="680"/>
      <c r="D1609" s="910"/>
      <c r="E1609" s="680"/>
      <c r="F1609" s="680"/>
      <c r="G1609" s="680"/>
      <c r="H1609" s="911"/>
      <c r="I1609" s="912"/>
      <c r="J1609" s="912"/>
      <c r="K1609" s="913"/>
      <c r="L1609" s="913"/>
      <c r="M1609" s="913"/>
      <c r="N1609" s="913"/>
      <c r="O1609" s="913"/>
      <c r="P1609" s="913"/>
      <c r="Q1609" s="576"/>
      <c r="R1609" s="576"/>
      <c r="S1609" s="576"/>
      <c r="T1609" s="576"/>
      <c r="U1609" s="576"/>
      <c r="V1609" s="576"/>
      <c r="W1609" s="576"/>
      <c r="X1609" s="576"/>
      <c r="Y1609" s="576"/>
      <c r="Z1609" s="576"/>
    </row>
    <row r="1610" spans="1:26" ht="18.75">
      <c r="A1610" s="680"/>
      <c r="B1610" s="680"/>
      <c r="C1610" s="680"/>
      <c r="D1610" s="910"/>
      <c r="E1610" s="680"/>
      <c r="F1610" s="680"/>
      <c r="G1610" s="680"/>
      <c r="H1610" s="911"/>
      <c r="I1610" s="912"/>
      <c r="J1610" s="912"/>
      <c r="K1610" s="913"/>
      <c r="L1610" s="913"/>
      <c r="M1610" s="913"/>
      <c r="N1610" s="913"/>
      <c r="O1610" s="913"/>
      <c r="P1610" s="913"/>
      <c r="Q1610" s="576"/>
      <c r="R1610" s="576"/>
      <c r="S1610" s="576"/>
      <c r="T1610" s="576"/>
      <c r="U1610" s="576"/>
      <c r="V1610" s="576"/>
      <c r="W1610" s="576"/>
      <c r="X1610" s="576"/>
      <c r="Y1610" s="576"/>
      <c r="Z1610" s="576"/>
    </row>
    <row r="1611" spans="1:26" ht="18.75">
      <c r="A1611" s="680"/>
      <c r="B1611" s="680"/>
      <c r="C1611" s="680"/>
      <c r="D1611" s="910"/>
      <c r="E1611" s="680"/>
      <c r="F1611" s="680"/>
      <c r="G1611" s="680"/>
      <c r="H1611" s="911"/>
      <c r="I1611" s="912"/>
      <c r="J1611" s="912"/>
      <c r="K1611" s="913"/>
      <c r="L1611" s="913"/>
      <c r="M1611" s="913"/>
      <c r="N1611" s="913"/>
      <c r="O1611" s="913"/>
      <c r="P1611" s="913"/>
      <c r="Q1611" s="576"/>
      <c r="R1611" s="576"/>
      <c r="S1611" s="576"/>
      <c r="T1611" s="576"/>
      <c r="U1611" s="576"/>
      <c r="V1611" s="576"/>
      <c r="W1611" s="576"/>
      <c r="X1611" s="576"/>
      <c r="Y1611" s="576"/>
      <c r="Z1611" s="576"/>
    </row>
    <row r="1612" spans="1:26" ht="18.75">
      <c r="A1612" s="680"/>
      <c r="B1612" s="680"/>
      <c r="C1612" s="680"/>
      <c r="D1612" s="910"/>
      <c r="E1612" s="680"/>
      <c r="F1612" s="680"/>
      <c r="G1612" s="680"/>
      <c r="H1612" s="911"/>
      <c r="I1612" s="912"/>
      <c r="J1612" s="912"/>
      <c r="K1612" s="913"/>
      <c r="L1612" s="913"/>
      <c r="M1612" s="913"/>
      <c r="N1612" s="913"/>
      <c r="O1612" s="913"/>
      <c r="P1612" s="913"/>
      <c r="Q1612" s="576"/>
      <c r="R1612" s="576"/>
      <c r="S1612" s="576"/>
      <c r="T1612" s="576"/>
      <c r="U1612" s="576"/>
      <c r="V1612" s="576"/>
      <c r="W1612" s="576"/>
      <c r="X1612" s="576"/>
      <c r="Y1612" s="576"/>
      <c r="Z1612" s="576"/>
    </row>
    <row r="1613" spans="1:26" ht="18.75">
      <c r="A1613" s="680"/>
      <c r="B1613" s="680"/>
      <c r="C1613" s="680"/>
      <c r="D1613" s="910"/>
      <c r="E1613" s="680"/>
      <c r="F1613" s="680"/>
      <c r="G1613" s="680"/>
      <c r="H1613" s="911"/>
      <c r="I1613" s="912"/>
      <c r="J1613" s="912"/>
      <c r="K1613" s="913"/>
      <c r="L1613" s="913"/>
      <c r="M1613" s="913"/>
      <c r="N1613" s="913"/>
      <c r="O1613" s="913"/>
      <c r="P1613" s="913"/>
      <c r="Q1613" s="576"/>
      <c r="R1613" s="576"/>
      <c r="S1613" s="576"/>
      <c r="T1613" s="576"/>
      <c r="U1613" s="576"/>
      <c r="V1613" s="576"/>
      <c r="W1613" s="576"/>
      <c r="X1613" s="576"/>
      <c r="Y1613" s="576"/>
      <c r="Z1613" s="576"/>
    </row>
    <row r="1614" spans="1:26" ht="18.75">
      <c r="A1614" s="680"/>
      <c r="B1614" s="680"/>
      <c r="C1614" s="680"/>
      <c r="D1614" s="910"/>
      <c r="E1614" s="680"/>
      <c r="F1614" s="680"/>
      <c r="G1614" s="680"/>
      <c r="H1614" s="911"/>
      <c r="I1614" s="912"/>
      <c r="J1614" s="912"/>
      <c r="K1614" s="913"/>
      <c r="L1614" s="913"/>
      <c r="M1614" s="913"/>
      <c r="N1614" s="913"/>
      <c r="O1614" s="913"/>
      <c r="P1614" s="913"/>
      <c r="Q1614" s="576"/>
      <c r="R1614" s="576"/>
      <c r="S1614" s="576"/>
      <c r="T1614" s="576"/>
      <c r="U1614" s="576"/>
      <c r="V1614" s="576"/>
      <c r="W1614" s="576"/>
      <c r="X1614" s="576"/>
      <c r="Y1614" s="576"/>
      <c r="Z1614" s="576"/>
    </row>
    <row r="1615" spans="1:26" ht="18.75">
      <c r="A1615" s="680"/>
      <c r="B1615" s="680"/>
      <c r="C1615" s="680"/>
      <c r="D1615" s="910"/>
      <c r="E1615" s="680"/>
      <c r="F1615" s="680"/>
      <c r="G1615" s="680"/>
      <c r="H1615" s="911"/>
      <c r="I1615" s="912"/>
      <c r="J1615" s="912"/>
      <c r="K1615" s="913"/>
      <c r="L1615" s="913"/>
      <c r="M1615" s="913"/>
      <c r="N1615" s="913"/>
      <c r="O1615" s="913"/>
      <c r="P1615" s="913"/>
      <c r="Q1615" s="576"/>
      <c r="R1615" s="576"/>
      <c r="S1615" s="576"/>
      <c r="T1615" s="576"/>
      <c r="U1615" s="576"/>
      <c r="V1615" s="576"/>
      <c r="W1615" s="576"/>
      <c r="X1615" s="576"/>
      <c r="Y1615" s="576"/>
      <c r="Z1615" s="576"/>
    </row>
    <row r="1616" spans="1:26" ht="18.75">
      <c r="A1616" s="680"/>
      <c r="B1616" s="680"/>
      <c r="C1616" s="680"/>
      <c r="D1616" s="910"/>
      <c r="E1616" s="680"/>
      <c r="F1616" s="680"/>
      <c r="G1616" s="680"/>
      <c r="H1616" s="911"/>
      <c r="I1616" s="912"/>
      <c r="J1616" s="912"/>
      <c r="K1616" s="913"/>
      <c r="L1616" s="913"/>
      <c r="M1616" s="913"/>
      <c r="N1616" s="913"/>
      <c r="O1616" s="913"/>
      <c r="P1616" s="913"/>
      <c r="Q1616" s="576"/>
      <c r="R1616" s="576"/>
      <c r="S1616" s="576"/>
      <c r="T1616" s="576"/>
      <c r="U1616" s="576"/>
      <c r="V1616" s="576"/>
      <c r="W1616" s="576"/>
      <c r="X1616" s="576"/>
      <c r="Y1616" s="576"/>
      <c r="Z1616" s="576"/>
    </row>
    <row r="1617" spans="1:26" ht="18.75">
      <c r="A1617" s="680"/>
      <c r="B1617" s="680"/>
      <c r="C1617" s="680"/>
      <c r="D1617" s="910"/>
      <c r="E1617" s="680"/>
      <c r="F1617" s="680"/>
      <c r="G1617" s="680"/>
      <c r="H1617" s="911"/>
      <c r="I1617" s="912"/>
      <c r="J1617" s="912"/>
      <c r="K1617" s="913"/>
      <c r="L1617" s="913"/>
      <c r="M1617" s="913"/>
      <c r="N1617" s="913"/>
      <c r="O1617" s="913"/>
      <c r="P1617" s="913"/>
      <c r="Q1617" s="576"/>
      <c r="R1617" s="576"/>
      <c r="S1617" s="576"/>
      <c r="T1617" s="576"/>
      <c r="U1617" s="576"/>
      <c r="V1617" s="576"/>
      <c r="W1617" s="576"/>
      <c r="X1617" s="576"/>
      <c r="Y1617" s="576"/>
      <c r="Z1617" s="576"/>
    </row>
    <row r="1618" spans="1:26" ht="18.75">
      <c r="A1618" s="680"/>
      <c r="B1618" s="680"/>
      <c r="C1618" s="680"/>
      <c r="D1618" s="910"/>
      <c r="E1618" s="680"/>
      <c r="F1618" s="680"/>
      <c r="G1618" s="680"/>
      <c r="H1618" s="911"/>
      <c r="I1618" s="912"/>
      <c r="J1618" s="912"/>
      <c r="K1618" s="913"/>
      <c r="L1618" s="913"/>
      <c r="M1618" s="913"/>
      <c r="N1618" s="913"/>
      <c r="O1618" s="913"/>
      <c r="P1618" s="913"/>
      <c r="Q1618" s="576"/>
      <c r="R1618" s="576"/>
      <c r="S1618" s="576"/>
      <c r="T1618" s="576"/>
      <c r="U1618" s="576"/>
      <c r="V1618" s="576"/>
      <c r="W1618" s="576"/>
      <c r="X1618" s="576"/>
      <c r="Y1618" s="576"/>
      <c r="Z1618" s="576"/>
    </row>
    <row r="1619" spans="1:26" ht="18.75">
      <c r="A1619" s="680"/>
      <c r="B1619" s="680"/>
      <c r="C1619" s="680"/>
      <c r="D1619" s="910"/>
      <c r="E1619" s="680"/>
      <c r="F1619" s="680"/>
      <c r="G1619" s="680"/>
      <c r="H1619" s="911"/>
      <c r="I1619" s="912"/>
      <c r="J1619" s="912"/>
      <c r="K1619" s="913"/>
      <c r="L1619" s="913"/>
      <c r="M1619" s="913"/>
      <c r="N1619" s="913"/>
      <c r="O1619" s="913"/>
      <c r="P1619" s="913"/>
      <c r="Q1619" s="576"/>
      <c r="R1619" s="576"/>
      <c r="S1619" s="576"/>
      <c r="T1619" s="576"/>
      <c r="U1619" s="576"/>
      <c r="V1619" s="576"/>
      <c r="W1619" s="576"/>
      <c r="X1619" s="576"/>
      <c r="Y1619" s="576"/>
      <c r="Z1619" s="576"/>
    </row>
    <row r="1620" spans="1:26" ht="18.75">
      <c r="A1620" s="680"/>
      <c r="B1620" s="680"/>
      <c r="C1620" s="680"/>
      <c r="D1620" s="910"/>
      <c r="E1620" s="680"/>
      <c r="F1620" s="680"/>
      <c r="G1620" s="680"/>
      <c r="H1620" s="911"/>
      <c r="I1620" s="912"/>
      <c r="J1620" s="912"/>
      <c r="K1620" s="913"/>
      <c r="L1620" s="913"/>
      <c r="M1620" s="913"/>
      <c r="N1620" s="913"/>
      <c r="O1620" s="913"/>
      <c r="P1620" s="913"/>
      <c r="Q1620" s="576"/>
      <c r="R1620" s="576"/>
      <c r="S1620" s="576"/>
      <c r="T1620" s="576"/>
      <c r="U1620" s="576"/>
      <c r="V1620" s="576"/>
      <c r="W1620" s="576"/>
      <c r="X1620" s="576"/>
      <c r="Y1620" s="576"/>
      <c r="Z1620" s="576"/>
    </row>
    <row r="1621" spans="1:26" ht="18.75">
      <c r="A1621" s="680"/>
      <c r="B1621" s="680"/>
      <c r="C1621" s="680"/>
      <c r="D1621" s="910"/>
      <c r="E1621" s="680"/>
      <c r="F1621" s="680"/>
      <c r="G1621" s="680"/>
      <c r="H1621" s="911"/>
      <c r="I1621" s="912"/>
      <c r="J1621" s="912"/>
      <c r="K1621" s="913"/>
      <c r="L1621" s="913"/>
      <c r="M1621" s="913"/>
      <c r="N1621" s="913"/>
      <c r="O1621" s="913"/>
      <c r="P1621" s="913"/>
      <c r="Q1621" s="576"/>
      <c r="R1621" s="576"/>
      <c r="S1621" s="576"/>
      <c r="T1621" s="576"/>
      <c r="U1621" s="576"/>
      <c r="V1621" s="576"/>
      <c r="W1621" s="576"/>
      <c r="X1621" s="576"/>
      <c r="Y1621" s="576"/>
      <c r="Z1621" s="576"/>
    </row>
    <row r="1622" spans="1:26" ht="18.75">
      <c r="A1622" s="680"/>
      <c r="B1622" s="680"/>
      <c r="C1622" s="680"/>
      <c r="D1622" s="910"/>
      <c r="E1622" s="680"/>
      <c r="F1622" s="680"/>
      <c r="G1622" s="680"/>
      <c r="H1622" s="911"/>
      <c r="I1622" s="912"/>
      <c r="J1622" s="912"/>
      <c r="K1622" s="913"/>
      <c r="L1622" s="913"/>
      <c r="M1622" s="913"/>
      <c r="N1622" s="913"/>
      <c r="O1622" s="913"/>
      <c r="P1622" s="913"/>
      <c r="Q1622" s="576"/>
      <c r="R1622" s="576"/>
      <c r="S1622" s="576"/>
      <c r="T1622" s="576"/>
      <c r="U1622" s="576"/>
      <c r="V1622" s="576"/>
      <c r="W1622" s="576"/>
      <c r="X1622" s="576"/>
      <c r="Y1622" s="576"/>
      <c r="Z1622" s="576"/>
    </row>
    <row r="1623" spans="1:26" ht="18.75">
      <c r="A1623" s="680"/>
      <c r="B1623" s="680"/>
      <c r="C1623" s="680"/>
      <c r="D1623" s="910"/>
      <c r="E1623" s="680"/>
      <c r="F1623" s="680"/>
      <c r="G1623" s="680"/>
      <c r="H1623" s="911"/>
      <c r="I1623" s="912"/>
      <c r="J1623" s="912"/>
      <c r="K1623" s="913"/>
      <c r="L1623" s="913"/>
      <c r="M1623" s="913"/>
      <c r="N1623" s="913"/>
      <c r="O1623" s="913"/>
      <c r="P1623" s="913"/>
      <c r="Q1623" s="576"/>
      <c r="R1623" s="576"/>
      <c r="S1623" s="576"/>
      <c r="T1623" s="576"/>
      <c r="U1623" s="576"/>
      <c r="V1623" s="576"/>
      <c r="W1623" s="576"/>
      <c r="X1623" s="576"/>
      <c r="Y1623" s="576"/>
      <c r="Z1623" s="576"/>
    </row>
    <row r="1624" spans="1:26" ht="18.75">
      <c r="A1624" s="680"/>
      <c r="B1624" s="680"/>
      <c r="C1624" s="680"/>
      <c r="D1624" s="910"/>
      <c r="E1624" s="680"/>
      <c r="F1624" s="680"/>
      <c r="G1624" s="680"/>
      <c r="H1624" s="911"/>
      <c r="I1624" s="912"/>
      <c r="J1624" s="912"/>
      <c r="K1624" s="913"/>
      <c r="L1624" s="913"/>
      <c r="M1624" s="913"/>
      <c r="N1624" s="913"/>
      <c r="O1624" s="913"/>
      <c r="P1624" s="913"/>
      <c r="Q1624" s="576"/>
      <c r="R1624" s="576"/>
      <c r="S1624" s="576"/>
      <c r="T1624" s="576"/>
      <c r="U1624" s="576"/>
      <c r="V1624" s="576"/>
      <c r="W1624" s="576"/>
      <c r="X1624" s="576"/>
      <c r="Y1624" s="576"/>
      <c r="Z1624" s="576"/>
    </row>
    <row r="1625" spans="1:26" ht="18.75">
      <c r="A1625" s="680"/>
      <c r="B1625" s="680"/>
      <c r="C1625" s="680"/>
      <c r="D1625" s="910"/>
      <c r="E1625" s="680"/>
      <c r="F1625" s="680"/>
      <c r="G1625" s="680"/>
      <c r="H1625" s="911"/>
      <c r="I1625" s="912"/>
      <c r="J1625" s="912"/>
      <c r="K1625" s="913"/>
      <c r="L1625" s="913"/>
      <c r="M1625" s="913"/>
      <c r="N1625" s="913"/>
      <c r="O1625" s="913"/>
      <c r="P1625" s="913"/>
      <c r="Q1625" s="576"/>
      <c r="R1625" s="576"/>
      <c r="S1625" s="576"/>
      <c r="T1625" s="576"/>
      <c r="U1625" s="576"/>
      <c r="V1625" s="576"/>
      <c r="W1625" s="576"/>
      <c r="X1625" s="576"/>
      <c r="Y1625" s="576"/>
      <c r="Z1625" s="576"/>
    </row>
    <row r="1626" spans="1:26" ht="18.75">
      <c r="A1626" s="680"/>
      <c r="B1626" s="680"/>
      <c r="C1626" s="680"/>
      <c r="D1626" s="910"/>
      <c r="E1626" s="680"/>
      <c r="F1626" s="680"/>
      <c r="G1626" s="680"/>
      <c r="H1626" s="911"/>
      <c r="I1626" s="912"/>
      <c r="J1626" s="912"/>
      <c r="K1626" s="913"/>
      <c r="L1626" s="913"/>
      <c r="M1626" s="913"/>
      <c r="N1626" s="913"/>
      <c r="O1626" s="913"/>
      <c r="P1626" s="913"/>
      <c r="Q1626" s="576"/>
      <c r="R1626" s="576"/>
      <c r="S1626" s="576"/>
      <c r="T1626" s="576"/>
      <c r="U1626" s="576"/>
      <c r="V1626" s="576"/>
      <c r="W1626" s="576"/>
      <c r="X1626" s="576"/>
      <c r="Y1626" s="576"/>
      <c r="Z1626" s="576"/>
    </row>
    <row r="1627" spans="1:26" ht="18.75">
      <c r="A1627" s="680"/>
      <c r="B1627" s="680"/>
      <c r="C1627" s="680"/>
      <c r="D1627" s="910"/>
      <c r="E1627" s="680"/>
      <c r="F1627" s="680"/>
      <c r="G1627" s="680"/>
      <c r="H1627" s="911"/>
      <c r="I1627" s="912"/>
      <c r="J1627" s="912"/>
      <c r="K1627" s="913"/>
      <c r="L1627" s="913"/>
      <c r="M1627" s="913"/>
      <c r="N1627" s="913"/>
      <c r="O1627" s="913"/>
      <c r="P1627" s="913"/>
      <c r="Q1627" s="576"/>
      <c r="R1627" s="576"/>
      <c r="S1627" s="576"/>
      <c r="T1627" s="576"/>
      <c r="U1627" s="576"/>
      <c r="V1627" s="576"/>
      <c r="W1627" s="576"/>
      <c r="X1627" s="576"/>
      <c r="Y1627" s="576"/>
      <c r="Z1627" s="576"/>
    </row>
    <row r="1628" spans="1:26" ht="18.75">
      <c r="A1628" s="680"/>
      <c r="B1628" s="680"/>
      <c r="C1628" s="680"/>
      <c r="D1628" s="910"/>
      <c r="E1628" s="680"/>
      <c r="F1628" s="680"/>
      <c r="G1628" s="680"/>
      <c r="H1628" s="911"/>
      <c r="I1628" s="912"/>
      <c r="J1628" s="912"/>
      <c r="K1628" s="913"/>
      <c r="L1628" s="913"/>
      <c r="M1628" s="913"/>
      <c r="N1628" s="913"/>
      <c r="O1628" s="913"/>
      <c r="P1628" s="913"/>
      <c r="Q1628" s="576"/>
      <c r="R1628" s="576"/>
      <c r="S1628" s="576"/>
      <c r="T1628" s="576"/>
      <c r="U1628" s="576"/>
      <c r="V1628" s="576"/>
      <c r="W1628" s="576"/>
      <c r="X1628" s="576"/>
      <c r="Y1628" s="576"/>
      <c r="Z1628" s="576"/>
    </row>
    <row r="1629" spans="1:26" ht="18.75">
      <c r="A1629" s="680"/>
      <c r="B1629" s="680"/>
      <c r="C1629" s="680"/>
      <c r="D1629" s="910"/>
      <c r="E1629" s="680"/>
      <c r="F1629" s="680"/>
      <c r="G1629" s="680"/>
      <c r="H1629" s="911"/>
      <c r="I1629" s="912"/>
      <c r="J1629" s="912"/>
      <c r="K1629" s="913"/>
      <c r="L1629" s="913"/>
      <c r="M1629" s="913"/>
      <c r="N1629" s="913"/>
      <c r="O1629" s="913"/>
      <c r="P1629" s="913"/>
      <c r="Q1629" s="576"/>
      <c r="R1629" s="576"/>
      <c r="S1629" s="576"/>
      <c r="T1629" s="576"/>
      <c r="U1629" s="576"/>
      <c r="V1629" s="576"/>
      <c r="W1629" s="576"/>
      <c r="X1629" s="576"/>
      <c r="Y1629" s="576"/>
      <c r="Z1629" s="576"/>
    </row>
    <row r="1630" spans="1:26" ht="18.75">
      <c r="A1630" s="680"/>
      <c r="B1630" s="680"/>
      <c r="C1630" s="680"/>
      <c r="D1630" s="910"/>
      <c r="E1630" s="680"/>
      <c r="F1630" s="680"/>
      <c r="G1630" s="680"/>
      <c r="H1630" s="911"/>
      <c r="I1630" s="912"/>
      <c r="J1630" s="912"/>
      <c r="K1630" s="913"/>
      <c r="L1630" s="913"/>
      <c r="M1630" s="913"/>
      <c r="N1630" s="913"/>
      <c r="O1630" s="913"/>
      <c r="P1630" s="913"/>
      <c r="Q1630" s="576"/>
      <c r="R1630" s="576"/>
      <c r="S1630" s="576"/>
      <c r="T1630" s="576"/>
      <c r="U1630" s="576"/>
      <c r="V1630" s="576"/>
      <c r="W1630" s="576"/>
      <c r="X1630" s="576"/>
      <c r="Y1630" s="576"/>
      <c r="Z1630" s="576"/>
    </row>
    <row r="1631" spans="1:26" ht="18.75">
      <c r="A1631" s="680"/>
      <c r="B1631" s="680"/>
      <c r="C1631" s="680"/>
      <c r="D1631" s="910"/>
      <c r="E1631" s="680"/>
      <c r="F1631" s="680"/>
      <c r="G1631" s="680"/>
      <c r="H1631" s="911"/>
      <c r="I1631" s="912"/>
      <c r="J1631" s="912"/>
      <c r="K1631" s="913"/>
      <c r="L1631" s="913"/>
      <c r="M1631" s="913"/>
      <c r="N1631" s="913"/>
      <c r="O1631" s="913"/>
      <c r="P1631" s="913"/>
      <c r="Q1631" s="576"/>
      <c r="R1631" s="576"/>
      <c r="S1631" s="576"/>
      <c r="T1631" s="576"/>
      <c r="U1631" s="576"/>
      <c r="V1631" s="576"/>
      <c r="W1631" s="576"/>
      <c r="X1631" s="576"/>
      <c r="Y1631" s="576"/>
      <c r="Z1631" s="576"/>
    </row>
    <row r="1632" spans="1:26" ht="18.75">
      <c r="A1632" s="680"/>
      <c r="B1632" s="680"/>
      <c r="C1632" s="680"/>
      <c r="D1632" s="910"/>
      <c r="E1632" s="680"/>
      <c r="F1632" s="680"/>
      <c r="G1632" s="680"/>
      <c r="H1632" s="911"/>
      <c r="I1632" s="912"/>
      <c r="J1632" s="912"/>
      <c r="K1632" s="913"/>
      <c r="L1632" s="913"/>
      <c r="M1632" s="913"/>
      <c r="N1632" s="913"/>
      <c r="O1632" s="913"/>
      <c r="P1632" s="913"/>
      <c r="Q1632" s="576"/>
      <c r="R1632" s="576"/>
      <c r="S1632" s="576"/>
      <c r="T1632" s="576"/>
      <c r="U1632" s="576"/>
      <c r="V1632" s="576"/>
      <c r="W1632" s="576"/>
      <c r="X1632" s="576"/>
      <c r="Y1632" s="576"/>
      <c r="Z1632" s="576"/>
    </row>
    <row r="1633" spans="1:26" ht="18.75">
      <c r="A1633" s="680"/>
      <c r="B1633" s="680"/>
      <c r="C1633" s="680"/>
      <c r="D1633" s="910"/>
      <c r="E1633" s="680"/>
      <c r="F1633" s="680"/>
      <c r="G1633" s="680"/>
      <c r="H1633" s="911"/>
      <c r="I1633" s="912"/>
      <c r="J1633" s="912"/>
      <c r="K1633" s="913"/>
      <c r="L1633" s="913"/>
      <c r="M1633" s="913"/>
      <c r="N1633" s="913"/>
      <c r="O1633" s="913"/>
      <c r="P1633" s="913"/>
      <c r="Q1633" s="576"/>
      <c r="R1633" s="576"/>
      <c r="S1633" s="576"/>
      <c r="T1633" s="576"/>
      <c r="U1633" s="576"/>
      <c r="V1633" s="576"/>
      <c r="W1633" s="576"/>
      <c r="X1633" s="576"/>
      <c r="Y1633" s="576"/>
      <c r="Z1633" s="576"/>
    </row>
    <row r="1634" spans="1:26" ht="18.75">
      <c r="A1634" s="680"/>
      <c r="B1634" s="680"/>
      <c r="C1634" s="680"/>
      <c r="D1634" s="910"/>
      <c r="E1634" s="680"/>
      <c r="F1634" s="680"/>
      <c r="G1634" s="680"/>
      <c r="H1634" s="911"/>
      <c r="I1634" s="912"/>
      <c r="J1634" s="912"/>
      <c r="K1634" s="913"/>
      <c r="L1634" s="913"/>
      <c r="M1634" s="913"/>
      <c r="N1634" s="913"/>
      <c r="O1634" s="913"/>
      <c r="P1634" s="913"/>
      <c r="Q1634" s="576"/>
      <c r="R1634" s="576"/>
      <c r="S1634" s="576"/>
      <c r="T1634" s="576"/>
      <c r="U1634" s="576"/>
      <c r="V1634" s="576"/>
      <c r="W1634" s="576"/>
      <c r="X1634" s="576"/>
      <c r="Y1634" s="576"/>
      <c r="Z1634" s="576"/>
    </row>
    <row r="1635" spans="1:26" ht="18.75">
      <c r="A1635" s="680"/>
      <c r="B1635" s="680"/>
      <c r="C1635" s="680"/>
      <c r="D1635" s="910"/>
      <c r="E1635" s="680"/>
      <c r="F1635" s="680"/>
      <c r="G1635" s="680"/>
      <c r="H1635" s="911"/>
      <c r="I1635" s="912"/>
      <c r="J1635" s="912"/>
      <c r="K1635" s="913"/>
      <c r="L1635" s="913"/>
      <c r="M1635" s="913"/>
      <c r="N1635" s="913"/>
      <c r="O1635" s="913"/>
      <c r="P1635" s="913"/>
      <c r="Q1635" s="576"/>
      <c r="R1635" s="576"/>
      <c r="S1635" s="576"/>
      <c r="T1635" s="576"/>
      <c r="U1635" s="576"/>
      <c r="V1635" s="576"/>
      <c r="W1635" s="576"/>
      <c r="X1635" s="576"/>
      <c r="Y1635" s="576"/>
      <c r="Z1635" s="576"/>
    </row>
    <row r="1636" spans="1:26" ht="18.75">
      <c r="A1636" s="680"/>
      <c r="B1636" s="680"/>
      <c r="C1636" s="680"/>
      <c r="D1636" s="910"/>
      <c r="E1636" s="680"/>
      <c r="F1636" s="680"/>
      <c r="G1636" s="680"/>
      <c r="H1636" s="911"/>
      <c r="I1636" s="912"/>
      <c r="J1636" s="912"/>
      <c r="K1636" s="913"/>
      <c r="L1636" s="913"/>
      <c r="M1636" s="913"/>
      <c r="N1636" s="913"/>
      <c r="O1636" s="913"/>
      <c r="P1636" s="913"/>
      <c r="Q1636" s="576"/>
      <c r="R1636" s="576"/>
      <c r="S1636" s="576"/>
      <c r="T1636" s="576"/>
      <c r="U1636" s="576"/>
      <c r="V1636" s="576"/>
      <c r="W1636" s="576"/>
      <c r="X1636" s="576"/>
      <c r="Y1636" s="576"/>
      <c r="Z1636" s="576"/>
    </row>
    <row r="1637" spans="1:26" ht="18.75">
      <c r="A1637" s="680"/>
      <c r="B1637" s="680"/>
      <c r="C1637" s="680"/>
      <c r="D1637" s="910"/>
      <c r="E1637" s="680"/>
      <c r="F1637" s="680"/>
      <c r="G1637" s="680"/>
      <c r="H1637" s="911"/>
      <c r="I1637" s="912"/>
      <c r="J1637" s="912"/>
      <c r="K1637" s="913"/>
      <c r="L1637" s="913"/>
      <c r="M1637" s="913"/>
      <c r="N1637" s="913"/>
      <c r="O1637" s="913"/>
      <c r="P1637" s="913"/>
      <c r="Q1637" s="576"/>
      <c r="R1637" s="576"/>
      <c r="S1637" s="576"/>
      <c r="T1637" s="576"/>
      <c r="U1637" s="576"/>
      <c r="V1637" s="576"/>
      <c r="W1637" s="576"/>
      <c r="X1637" s="576"/>
      <c r="Y1637" s="576"/>
      <c r="Z1637" s="576"/>
    </row>
    <row r="1638" spans="1:26" ht="18.75">
      <c r="A1638" s="680"/>
      <c r="B1638" s="680"/>
      <c r="C1638" s="680"/>
      <c r="D1638" s="910"/>
      <c r="E1638" s="680"/>
      <c r="F1638" s="680"/>
      <c r="G1638" s="680"/>
      <c r="H1638" s="911"/>
      <c r="I1638" s="912"/>
      <c r="J1638" s="912"/>
      <c r="K1638" s="913"/>
      <c r="L1638" s="913"/>
      <c r="M1638" s="913"/>
      <c r="N1638" s="913"/>
      <c r="O1638" s="913"/>
      <c r="P1638" s="913"/>
      <c r="Q1638" s="576"/>
      <c r="R1638" s="576"/>
      <c r="S1638" s="576"/>
      <c r="T1638" s="576"/>
      <c r="U1638" s="576"/>
      <c r="V1638" s="576"/>
      <c r="W1638" s="576"/>
      <c r="X1638" s="576"/>
      <c r="Y1638" s="576"/>
      <c r="Z1638" s="576"/>
    </row>
    <row r="1639" spans="1:26" ht="18.75">
      <c r="A1639" s="680"/>
      <c r="B1639" s="680"/>
      <c r="C1639" s="680"/>
      <c r="D1639" s="910"/>
      <c r="E1639" s="680"/>
      <c r="F1639" s="680"/>
      <c r="G1639" s="680"/>
      <c r="H1639" s="911"/>
      <c r="I1639" s="912"/>
      <c r="J1639" s="912"/>
      <c r="K1639" s="913"/>
      <c r="L1639" s="913"/>
      <c r="M1639" s="913"/>
      <c r="N1639" s="913"/>
      <c r="O1639" s="913"/>
      <c r="P1639" s="913"/>
      <c r="Q1639" s="576"/>
      <c r="R1639" s="576"/>
      <c r="S1639" s="576"/>
      <c r="T1639" s="576"/>
      <c r="U1639" s="576"/>
      <c r="V1639" s="576"/>
      <c r="W1639" s="576"/>
      <c r="X1639" s="576"/>
      <c r="Y1639" s="576"/>
      <c r="Z1639" s="576"/>
    </row>
    <row r="1640" spans="1:26" ht="18.75">
      <c r="A1640" s="680"/>
      <c r="B1640" s="680"/>
      <c r="C1640" s="680"/>
      <c r="D1640" s="910"/>
      <c r="E1640" s="680"/>
      <c r="F1640" s="680"/>
      <c r="G1640" s="680"/>
      <c r="H1640" s="911"/>
      <c r="I1640" s="912"/>
      <c r="J1640" s="912"/>
      <c r="K1640" s="913"/>
      <c r="L1640" s="913"/>
      <c r="M1640" s="913"/>
      <c r="N1640" s="913"/>
      <c r="O1640" s="913"/>
      <c r="P1640" s="913"/>
      <c r="Q1640" s="576"/>
      <c r="R1640" s="576"/>
      <c r="S1640" s="576"/>
      <c r="T1640" s="576"/>
      <c r="U1640" s="576"/>
      <c r="V1640" s="576"/>
      <c r="W1640" s="576"/>
      <c r="X1640" s="576"/>
      <c r="Y1640" s="576"/>
      <c r="Z1640" s="576"/>
    </row>
    <row r="1641" spans="1:26" ht="18.75">
      <c r="A1641" s="680"/>
      <c r="B1641" s="680"/>
      <c r="C1641" s="680"/>
      <c r="D1641" s="910"/>
      <c r="E1641" s="680"/>
      <c r="F1641" s="680"/>
      <c r="G1641" s="680"/>
      <c r="H1641" s="911"/>
      <c r="I1641" s="912"/>
      <c r="J1641" s="912"/>
      <c r="K1641" s="913"/>
      <c r="L1641" s="913"/>
      <c r="M1641" s="913"/>
      <c r="N1641" s="913"/>
      <c r="O1641" s="913"/>
      <c r="P1641" s="913"/>
      <c r="Q1641" s="576"/>
      <c r="R1641" s="576"/>
      <c r="S1641" s="576"/>
      <c r="T1641" s="576"/>
      <c r="U1641" s="576"/>
      <c r="V1641" s="576"/>
      <c r="W1641" s="576"/>
      <c r="X1641" s="576"/>
      <c r="Y1641" s="576"/>
      <c r="Z1641" s="576"/>
    </row>
    <row r="1642" spans="1:26" ht="18.75">
      <c r="A1642" s="680"/>
      <c r="B1642" s="680"/>
      <c r="C1642" s="680"/>
      <c r="D1642" s="910"/>
      <c r="E1642" s="680"/>
      <c r="F1642" s="680"/>
      <c r="G1642" s="680"/>
      <c r="H1642" s="911"/>
      <c r="I1642" s="912"/>
      <c r="J1642" s="912"/>
      <c r="K1642" s="913"/>
      <c r="L1642" s="913"/>
      <c r="M1642" s="913"/>
      <c r="N1642" s="913"/>
      <c r="O1642" s="913"/>
      <c r="P1642" s="913"/>
      <c r="Q1642" s="576"/>
      <c r="R1642" s="576"/>
      <c r="S1642" s="576"/>
      <c r="T1642" s="576"/>
      <c r="U1642" s="576"/>
      <c r="V1642" s="576"/>
      <c r="W1642" s="576"/>
      <c r="X1642" s="576"/>
      <c r="Y1642" s="576"/>
      <c r="Z1642" s="576"/>
    </row>
    <row r="1643" spans="1:26" ht="18.75">
      <c r="A1643" s="680"/>
      <c r="B1643" s="680"/>
      <c r="C1643" s="680"/>
      <c r="D1643" s="910"/>
      <c r="E1643" s="680"/>
      <c r="F1643" s="680"/>
      <c r="G1643" s="680"/>
      <c r="H1643" s="911"/>
      <c r="I1643" s="912"/>
      <c r="J1643" s="912"/>
      <c r="K1643" s="913"/>
      <c r="L1643" s="913"/>
      <c r="M1643" s="913"/>
      <c r="N1643" s="913"/>
      <c r="O1643" s="913"/>
      <c r="P1643" s="913"/>
      <c r="Q1643" s="576"/>
      <c r="R1643" s="576"/>
      <c r="S1643" s="576"/>
      <c r="T1643" s="576"/>
      <c r="U1643" s="576"/>
      <c r="V1643" s="576"/>
      <c r="W1643" s="576"/>
      <c r="X1643" s="576"/>
      <c r="Y1643" s="576"/>
      <c r="Z1643" s="576"/>
    </row>
    <row r="1644" spans="1:26" ht="18.75">
      <c r="A1644" s="680"/>
      <c r="B1644" s="680"/>
      <c r="C1644" s="680"/>
      <c r="D1644" s="910"/>
      <c r="E1644" s="680"/>
      <c r="F1644" s="680"/>
      <c r="G1644" s="680"/>
      <c r="H1644" s="911"/>
      <c r="I1644" s="912"/>
      <c r="J1644" s="912"/>
      <c r="K1644" s="913"/>
      <c r="L1644" s="913"/>
      <c r="M1644" s="913"/>
      <c r="N1644" s="913"/>
      <c r="O1644" s="913"/>
      <c r="P1644" s="913"/>
      <c r="Q1644" s="576"/>
      <c r="R1644" s="576"/>
      <c r="S1644" s="576"/>
      <c r="T1644" s="576"/>
      <c r="U1644" s="576"/>
      <c r="V1644" s="576"/>
      <c r="W1644" s="576"/>
      <c r="X1644" s="576"/>
      <c r="Y1644" s="576"/>
      <c r="Z1644" s="576"/>
    </row>
    <row r="1645" spans="1:26" ht="18.75">
      <c r="A1645" s="680"/>
      <c r="B1645" s="680"/>
      <c r="C1645" s="680"/>
      <c r="D1645" s="910"/>
      <c r="E1645" s="680"/>
      <c r="F1645" s="680"/>
      <c r="G1645" s="680"/>
      <c r="H1645" s="911"/>
      <c r="I1645" s="912"/>
      <c r="J1645" s="912"/>
      <c r="K1645" s="913"/>
      <c r="L1645" s="913"/>
      <c r="M1645" s="913"/>
      <c r="N1645" s="913"/>
      <c r="O1645" s="913"/>
      <c r="P1645" s="913"/>
      <c r="Q1645" s="576"/>
      <c r="R1645" s="576"/>
      <c r="S1645" s="576"/>
      <c r="T1645" s="576"/>
      <c r="U1645" s="576"/>
      <c r="V1645" s="576"/>
      <c r="W1645" s="576"/>
      <c r="X1645" s="576"/>
      <c r="Y1645" s="576"/>
      <c r="Z1645" s="576"/>
    </row>
    <row r="1646" spans="1:26" ht="18.75">
      <c r="A1646" s="680"/>
      <c r="B1646" s="680"/>
      <c r="C1646" s="680"/>
      <c r="D1646" s="910"/>
      <c r="E1646" s="680"/>
      <c r="F1646" s="680"/>
      <c r="G1646" s="680"/>
      <c r="H1646" s="911"/>
      <c r="I1646" s="912"/>
      <c r="J1646" s="912"/>
      <c r="K1646" s="913"/>
      <c r="L1646" s="913"/>
      <c r="M1646" s="913"/>
      <c r="N1646" s="913"/>
      <c r="O1646" s="913"/>
      <c r="P1646" s="913"/>
      <c r="Q1646" s="576"/>
      <c r="R1646" s="576"/>
      <c r="S1646" s="576"/>
      <c r="T1646" s="576"/>
      <c r="U1646" s="576"/>
      <c r="V1646" s="576"/>
      <c r="W1646" s="576"/>
      <c r="X1646" s="576"/>
      <c r="Y1646" s="576"/>
      <c r="Z1646" s="576"/>
    </row>
    <row r="1647" spans="1:26" ht="18.75">
      <c r="A1647" s="680"/>
      <c r="B1647" s="680"/>
      <c r="C1647" s="680"/>
      <c r="D1647" s="910"/>
      <c r="E1647" s="680"/>
      <c r="F1647" s="680"/>
      <c r="G1647" s="680"/>
      <c r="H1647" s="911"/>
      <c r="I1647" s="912"/>
      <c r="J1647" s="912"/>
      <c r="K1647" s="913"/>
      <c r="L1647" s="913"/>
      <c r="M1647" s="913"/>
      <c r="N1647" s="913"/>
      <c r="O1647" s="913"/>
      <c r="P1647" s="913"/>
      <c r="Q1647" s="576"/>
      <c r="R1647" s="576"/>
      <c r="S1647" s="576"/>
      <c r="T1647" s="576"/>
      <c r="U1647" s="576"/>
      <c r="V1647" s="576"/>
      <c r="W1647" s="576"/>
      <c r="X1647" s="576"/>
      <c r="Y1647" s="576"/>
      <c r="Z1647" s="576"/>
    </row>
    <row r="1648" spans="1:26" ht="18.75">
      <c r="A1648" s="680"/>
      <c r="B1648" s="680"/>
      <c r="C1648" s="680"/>
      <c r="D1648" s="910"/>
      <c r="E1648" s="680"/>
      <c r="F1648" s="680"/>
      <c r="G1648" s="680"/>
      <c r="H1648" s="911"/>
      <c r="I1648" s="912"/>
      <c r="J1648" s="912"/>
      <c r="K1648" s="913"/>
      <c r="L1648" s="913"/>
      <c r="M1648" s="913"/>
      <c r="N1648" s="913"/>
      <c r="O1648" s="913"/>
      <c r="P1648" s="913"/>
      <c r="Q1648" s="576"/>
      <c r="R1648" s="576"/>
      <c r="S1648" s="576"/>
      <c r="T1648" s="576"/>
      <c r="U1648" s="576"/>
      <c r="V1648" s="576"/>
      <c r="W1648" s="576"/>
      <c r="X1648" s="576"/>
      <c r="Y1648" s="576"/>
      <c r="Z1648" s="576"/>
    </row>
    <row r="1649" spans="1:26" ht="18.75">
      <c r="A1649" s="680"/>
      <c r="B1649" s="680"/>
      <c r="C1649" s="680"/>
      <c r="D1649" s="910"/>
      <c r="E1649" s="680"/>
      <c r="F1649" s="680"/>
      <c r="G1649" s="680"/>
      <c r="H1649" s="911"/>
      <c r="I1649" s="912"/>
      <c r="J1649" s="912"/>
      <c r="K1649" s="913"/>
      <c r="L1649" s="913"/>
      <c r="M1649" s="913"/>
      <c r="N1649" s="913"/>
      <c r="O1649" s="913"/>
      <c r="P1649" s="913"/>
      <c r="Q1649" s="576"/>
      <c r="R1649" s="576"/>
      <c r="S1649" s="576"/>
      <c r="T1649" s="576"/>
      <c r="U1649" s="576"/>
      <c r="V1649" s="576"/>
      <c r="W1649" s="576"/>
      <c r="X1649" s="576"/>
      <c r="Y1649" s="576"/>
      <c r="Z1649" s="576"/>
    </row>
    <row r="1650" spans="1:26" ht="18.75">
      <c r="A1650" s="680"/>
      <c r="B1650" s="680"/>
      <c r="C1650" s="680"/>
      <c r="D1650" s="910"/>
      <c r="E1650" s="680"/>
      <c r="F1650" s="680"/>
      <c r="G1650" s="680"/>
      <c r="H1650" s="911"/>
      <c r="I1650" s="912"/>
      <c r="J1650" s="912"/>
      <c r="K1650" s="913"/>
      <c r="L1650" s="913"/>
      <c r="M1650" s="913"/>
      <c r="N1650" s="913"/>
      <c r="O1650" s="913"/>
      <c r="P1650" s="913"/>
      <c r="Q1650" s="576"/>
      <c r="R1650" s="576"/>
      <c r="S1650" s="576"/>
      <c r="T1650" s="576"/>
      <c r="U1650" s="576"/>
      <c r="V1650" s="576"/>
      <c r="W1650" s="576"/>
      <c r="X1650" s="576"/>
      <c r="Y1650" s="576"/>
      <c r="Z1650" s="576"/>
    </row>
    <row r="1651" spans="1:26" ht="18.75">
      <c r="A1651" s="680"/>
      <c r="B1651" s="680"/>
      <c r="C1651" s="680"/>
      <c r="D1651" s="910"/>
      <c r="E1651" s="680"/>
      <c r="F1651" s="680"/>
      <c r="G1651" s="680"/>
      <c r="H1651" s="911"/>
      <c r="I1651" s="912"/>
      <c r="J1651" s="912"/>
      <c r="K1651" s="913"/>
      <c r="L1651" s="913"/>
      <c r="M1651" s="913"/>
      <c r="N1651" s="913"/>
      <c r="O1651" s="913"/>
      <c r="P1651" s="913"/>
      <c r="Q1651" s="576"/>
      <c r="R1651" s="576"/>
      <c r="S1651" s="576"/>
      <c r="T1651" s="576"/>
      <c r="U1651" s="576"/>
      <c r="V1651" s="576"/>
      <c r="W1651" s="576"/>
      <c r="X1651" s="576"/>
      <c r="Y1651" s="576"/>
      <c r="Z1651" s="576"/>
    </row>
    <row r="1652" spans="1:26" ht="18.75">
      <c r="A1652" s="680"/>
      <c r="B1652" s="680"/>
      <c r="C1652" s="680"/>
      <c r="D1652" s="910"/>
      <c r="E1652" s="680"/>
      <c r="F1652" s="680"/>
      <c r="G1652" s="680"/>
      <c r="H1652" s="911"/>
      <c r="I1652" s="912"/>
      <c r="J1652" s="912"/>
      <c r="K1652" s="913"/>
      <c r="L1652" s="913"/>
      <c r="M1652" s="913"/>
      <c r="N1652" s="913"/>
      <c r="O1652" s="913"/>
      <c r="P1652" s="913"/>
      <c r="Q1652" s="576"/>
      <c r="R1652" s="576"/>
      <c r="S1652" s="576"/>
      <c r="T1652" s="576"/>
      <c r="U1652" s="576"/>
      <c r="V1652" s="576"/>
      <c r="W1652" s="576"/>
      <c r="X1652" s="576"/>
      <c r="Y1652" s="576"/>
      <c r="Z1652" s="576"/>
    </row>
    <row r="1653" spans="1:26" ht="18.75">
      <c r="A1653" s="680"/>
      <c r="B1653" s="680"/>
      <c r="C1653" s="680"/>
      <c r="D1653" s="910"/>
      <c r="E1653" s="680"/>
      <c r="F1653" s="680"/>
      <c r="G1653" s="680"/>
      <c r="H1653" s="911"/>
      <c r="I1653" s="912"/>
      <c r="J1653" s="912"/>
      <c r="K1653" s="913"/>
      <c r="L1653" s="913"/>
      <c r="M1653" s="913"/>
      <c r="N1653" s="913"/>
      <c r="O1653" s="913"/>
      <c r="P1653" s="913"/>
      <c r="Q1653" s="576"/>
      <c r="R1653" s="576"/>
      <c r="S1653" s="576"/>
      <c r="T1653" s="576"/>
      <c r="U1653" s="576"/>
      <c r="V1653" s="576"/>
      <c r="W1653" s="576"/>
      <c r="X1653" s="576"/>
      <c r="Y1653" s="576"/>
      <c r="Z1653" s="576"/>
    </row>
    <row r="1654" spans="1:26" ht="18.75">
      <c r="A1654" s="680"/>
      <c r="B1654" s="680"/>
      <c r="C1654" s="680"/>
      <c r="D1654" s="910"/>
      <c r="E1654" s="680"/>
      <c r="F1654" s="680"/>
      <c r="G1654" s="680"/>
      <c r="H1654" s="911"/>
      <c r="I1654" s="912"/>
      <c r="J1654" s="912"/>
      <c r="K1654" s="913"/>
      <c r="L1654" s="913"/>
      <c r="M1654" s="913"/>
      <c r="N1654" s="913"/>
      <c r="O1654" s="913"/>
      <c r="P1654" s="913"/>
      <c r="Q1654" s="576"/>
      <c r="R1654" s="576"/>
      <c r="S1654" s="576"/>
      <c r="T1654" s="576"/>
      <c r="U1654" s="576"/>
      <c r="V1654" s="576"/>
      <c r="W1654" s="576"/>
      <c r="X1654" s="576"/>
      <c r="Y1654" s="576"/>
      <c r="Z1654" s="576"/>
    </row>
    <row r="1655" spans="1:26" ht="18.75">
      <c r="A1655" s="680"/>
      <c r="B1655" s="680"/>
      <c r="C1655" s="680"/>
      <c r="D1655" s="910"/>
      <c r="E1655" s="680"/>
      <c r="F1655" s="680"/>
      <c r="G1655" s="680"/>
      <c r="H1655" s="911"/>
      <c r="I1655" s="912"/>
      <c r="J1655" s="912"/>
      <c r="K1655" s="913"/>
      <c r="L1655" s="913"/>
      <c r="M1655" s="913"/>
      <c r="N1655" s="913"/>
      <c r="O1655" s="913"/>
      <c r="P1655" s="913"/>
      <c r="Q1655" s="576"/>
      <c r="R1655" s="576"/>
      <c r="S1655" s="576"/>
      <c r="T1655" s="576"/>
      <c r="U1655" s="576"/>
      <c r="V1655" s="576"/>
      <c r="W1655" s="576"/>
      <c r="X1655" s="576"/>
      <c r="Y1655" s="576"/>
      <c r="Z1655" s="576"/>
    </row>
    <row r="1656" spans="1:26" ht="18.75">
      <c r="A1656" s="680"/>
      <c r="B1656" s="680"/>
      <c r="C1656" s="680"/>
      <c r="D1656" s="910"/>
      <c r="E1656" s="680"/>
      <c r="F1656" s="680"/>
      <c r="G1656" s="680"/>
      <c r="H1656" s="911"/>
      <c r="I1656" s="912"/>
      <c r="J1656" s="912"/>
      <c r="K1656" s="913"/>
      <c r="L1656" s="913"/>
      <c r="M1656" s="913"/>
      <c r="N1656" s="913"/>
      <c r="O1656" s="913"/>
      <c r="P1656" s="913"/>
      <c r="Q1656" s="576"/>
      <c r="R1656" s="576"/>
      <c r="S1656" s="576"/>
      <c r="T1656" s="576"/>
      <c r="U1656" s="576"/>
      <c r="V1656" s="576"/>
      <c r="W1656" s="576"/>
      <c r="X1656" s="576"/>
      <c r="Y1656" s="576"/>
      <c r="Z1656" s="576"/>
    </row>
    <row r="1657" spans="1:26" ht="18.75">
      <c r="A1657" s="680"/>
      <c r="B1657" s="680"/>
      <c r="C1657" s="680"/>
      <c r="D1657" s="910"/>
      <c r="E1657" s="680"/>
      <c r="F1657" s="680"/>
      <c r="G1657" s="680"/>
      <c r="H1657" s="911"/>
      <c r="I1657" s="912"/>
      <c r="J1657" s="912"/>
      <c r="K1657" s="913"/>
      <c r="L1657" s="913"/>
      <c r="M1657" s="913"/>
      <c r="N1657" s="913"/>
      <c r="O1657" s="913"/>
      <c r="P1657" s="913"/>
      <c r="Q1657" s="576"/>
      <c r="R1657" s="576"/>
      <c r="S1657" s="576"/>
      <c r="T1657" s="576"/>
      <c r="U1657" s="576"/>
      <c r="V1657" s="576"/>
      <c r="W1657" s="576"/>
      <c r="X1657" s="576"/>
      <c r="Y1657" s="576"/>
      <c r="Z1657" s="576"/>
    </row>
    <row r="1658" spans="1:26" ht="18.75">
      <c r="A1658" s="680"/>
      <c r="B1658" s="680"/>
      <c r="C1658" s="680"/>
      <c r="D1658" s="910"/>
      <c r="E1658" s="680"/>
      <c r="F1658" s="680"/>
      <c r="G1658" s="680"/>
      <c r="H1658" s="911"/>
      <c r="I1658" s="912"/>
      <c r="J1658" s="912"/>
      <c r="K1658" s="913"/>
      <c r="L1658" s="913"/>
      <c r="M1658" s="913"/>
      <c r="N1658" s="913"/>
      <c r="O1658" s="913"/>
      <c r="P1658" s="913"/>
      <c r="Q1658" s="576"/>
      <c r="R1658" s="576"/>
      <c r="S1658" s="576"/>
      <c r="T1658" s="576"/>
      <c r="U1658" s="576"/>
      <c r="V1658" s="576"/>
      <c r="W1658" s="576"/>
      <c r="X1658" s="576"/>
      <c r="Y1658" s="576"/>
      <c r="Z1658" s="576"/>
    </row>
    <row r="1659" spans="1:26" ht="18.75">
      <c r="A1659" s="680"/>
      <c r="B1659" s="680"/>
      <c r="C1659" s="680"/>
      <c r="D1659" s="910"/>
      <c r="E1659" s="680"/>
      <c r="F1659" s="680"/>
      <c r="G1659" s="680"/>
      <c r="H1659" s="911"/>
      <c r="I1659" s="912"/>
      <c r="J1659" s="912"/>
      <c r="K1659" s="913"/>
      <c r="L1659" s="913"/>
      <c r="M1659" s="913"/>
      <c r="N1659" s="913"/>
      <c r="O1659" s="913"/>
      <c r="P1659" s="913"/>
      <c r="Q1659" s="576"/>
      <c r="R1659" s="576"/>
      <c r="S1659" s="576"/>
      <c r="T1659" s="576"/>
      <c r="U1659" s="576"/>
      <c r="V1659" s="576"/>
      <c r="W1659" s="576"/>
      <c r="X1659" s="576"/>
      <c r="Y1659" s="576"/>
      <c r="Z1659" s="576"/>
    </row>
    <row r="1660" spans="1:26" ht="18.75">
      <c r="A1660" s="680"/>
      <c r="B1660" s="680"/>
      <c r="C1660" s="680"/>
      <c r="D1660" s="910"/>
      <c r="E1660" s="680"/>
      <c r="F1660" s="680"/>
      <c r="G1660" s="680"/>
      <c r="H1660" s="911"/>
      <c r="I1660" s="912"/>
      <c r="J1660" s="912"/>
      <c r="K1660" s="913"/>
      <c r="L1660" s="913"/>
      <c r="M1660" s="913"/>
      <c r="N1660" s="913"/>
      <c r="O1660" s="913"/>
      <c r="P1660" s="913"/>
      <c r="Q1660" s="576"/>
      <c r="R1660" s="576"/>
      <c r="S1660" s="576"/>
      <c r="T1660" s="576"/>
      <c r="U1660" s="576"/>
      <c r="V1660" s="576"/>
      <c r="W1660" s="576"/>
      <c r="X1660" s="576"/>
      <c r="Y1660" s="576"/>
      <c r="Z1660" s="576"/>
    </row>
    <row r="1661" spans="1:26" ht="18.75">
      <c r="A1661" s="680"/>
      <c r="B1661" s="680"/>
      <c r="C1661" s="680"/>
      <c r="D1661" s="910"/>
      <c r="E1661" s="680"/>
      <c r="F1661" s="680"/>
      <c r="G1661" s="680"/>
      <c r="H1661" s="911"/>
      <c r="I1661" s="912"/>
      <c r="J1661" s="912"/>
      <c r="K1661" s="913"/>
      <c r="L1661" s="913"/>
      <c r="M1661" s="913"/>
      <c r="N1661" s="913"/>
      <c r="O1661" s="913"/>
      <c r="P1661" s="913"/>
      <c r="Q1661" s="576"/>
      <c r="R1661" s="576"/>
      <c r="S1661" s="576"/>
      <c r="T1661" s="576"/>
      <c r="U1661" s="576"/>
      <c r="V1661" s="576"/>
      <c r="W1661" s="576"/>
      <c r="X1661" s="576"/>
      <c r="Y1661" s="576"/>
      <c r="Z1661" s="576"/>
    </row>
    <row r="1662" spans="1:26" ht="18.75">
      <c r="A1662" s="680"/>
      <c r="B1662" s="680"/>
      <c r="C1662" s="680"/>
      <c r="D1662" s="910"/>
      <c r="E1662" s="680"/>
      <c r="F1662" s="680"/>
      <c r="G1662" s="680"/>
      <c r="H1662" s="911"/>
      <c r="I1662" s="912"/>
      <c r="J1662" s="912"/>
      <c r="K1662" s="913"/>
      <c r="L1662" s="913"/>
      <c r="M1662" s="913"/>
      <c r="N1662" s="913"/>
      <c r="O1662" s="913"/>
      <c r="P1662" s="913"/>
      <c r="Q1662" s="576"/>
      <c r="R1662" s="576"/>
      <c r="S1662" s="576"/>
      <c r="T1662" s="576"/>
      <c r="U1662" s="576"/>
      <c r="V1662" s="576"/>
      <c r="W1662" s="576"/>
      <c r="X1662" s="576"/>
      <c r="Y1662" s="576"/>
      <c r="Z1662" s="576"/>
    </row>
    <row r="1663" spans="1:26" ht="18.75">
      <c r="A1663" s="680"/>
      <c r="B1663" s="680"/>
      <c r="C1663" s="680"/>
      <c r="D1663" s="910"/>
      <c r="E1663" s="680"/>
      <c r="F1663" s="680"/>
      <c r="G1663" s="680"/>
      <c r="H1663" s="911"/>
      <c r="I1663" s="912"/>
      <c r="J1663" s="912"/>
      <c r="K1663" s="913"/>
      <c r="L1663" s="913"/>
      <c r="M1663" s="913"/>
      <c r="N1663" s="913"/>
      <c r="O1663" s="913"/>
      <c r="P1663" s="913"/>
      <c r="Q1663" s="576"/>
      <c r="R1663" s="576"/>
      <c r="S1663" s="576"/>
      <c r="T1663" s="576"/>
      <c r="U1663" s="576"/>
      <c r="V1663" s="576"/>
      <c r="W1663" s="576"/>
      <c r="X1663" s="576"/>
      <c r="Y1663" s="576"/>
      <c r="Z1663" s="576"/>
    </row>
    <row r="1664" spans="1:26" ht="18.75">
      <c r="A1664" s="680"/>
      <c r="B1664" s="680"/>
      <c r="C1664" s="680"/>
      <c r="D1664" s="910"/>
      <c r="E1664" s="680"/>
      <c r="F1664" s="680"/>
      <c r="G1664" s="680"/>
      <c r="H1664" s="911"/>
      <c r="I1664" s="912"/>
      <c r="J1664" s="912"/>
      <c r="K1664" s="913"/>
      <c r="L1664" s="913"/>
      <c r="M1664" s="913"/>
      <c r="N1664" s="913"/>
      <c r="O1664" s="913"/>
      <c r="P1664" s="913"/>
      <c r="Q1664" s="576"/>
      <c r="R1664" s="576"/>
      <c r="S1664" s="576"/>
      <c r="T1664" s="576"/>
      <c r="U1664" s="576"/>
      <c r="V1664" s="576"/>
      <c r="W1664" s="576"/>
      <c r="X1664" s="576"/>
      <c r="Y1664" s="576"/>
      <c r="Z1664" s="576"/>
    </row>
    <row r="1665" spans="1:26" ht="18.75">
      <c r="A1665" s="680"/>
      <c r="B1665" s="680"/>
      <c r="C1665" s="680"/>
      <c r="D1665" s="910"/>
      <c r="E1665" s="680"/>
      <c r="F1665" s="680"/>
      <c r="G1665" s="680"/>
      <c r="H1665" s="911"/>
      <c r="I1665" s="912"/>
      <c r="J1665" s="912"/>
      <c r="K1665" s="913"/>
      <c r="L1665" s="913"/>
      <c r="M1665" s="913"/>
      <c r="N1665" s="913"/>
      <c r="O1665" s="913"/>
      <c r="P1665" s="913"/>
      <c r="Q1665" s="576"/>
      <c r="R1665" s="576"/>
      <c r="S1665" s="576"/>
      <c r="T1665" s="576"/>
      <c r="U1665" s="576"/>
      <c r="V1665" s="576"/>
      <c r="W1665" s="576"/>
      <c r="X1665" s="576"/>
      <c r="Y1665" s="576"/>
      <c r="Z1665" s="576"/>
    </row>
    <row r="1666" spans="1:26" ht="18.75">
      <c r="A1666" s="680"/>
      <c r="B1666" s="680"/>
      <c r="C1666" s="680"/>
      <c r="D1666" s="910"/>
      <c r="E1666" s="680"/>
      <c r="F1666" s="680"/>
      <c r="G1666" s="680"/>
      <c r="H1666" s="911"/>
      <c r="I1666" s="912"/>
      <c r="J1666" s="912"/>
      <c r="K1666" s="913"/>
      <c r="L1666" s="913"/>
      <c r="M1666" s="913"/>
      <c r="N1666" s="913"/>
      <c r="O1666" s="913"/>
      <c r="P1666" s="913"/>
      <c r="Q1666" s="576"/>
      <c r="R1666" s="576"/>
      <c r="S1666" s="576"/>
      <c r="T1666" s="576"/>
      <c r="U1666" s="576"/>
      <c r="V1666" s="576"/>
      <c r="W1666" s="576"/>
      <c r="X1666" s="576"/>
      <c r="Y1666" s="576"/>
      <c r="Z1666" s="576"/>
    </row>
    <row r="1667" spans="1:26" ht="18.75">
      <c r="A1667" s="680"/>
      <c r="B1667" s="680"/>
      <c r="C1667" s="680"/>
      <c r="D1667" s="910"/>
      <c r="E1667" s="680"/>
      <c r="F1667" s="680"/>
      <c r="G1667" s="680"/>
      <c r="H1667" s="911"/>
      <c r="I1667" s="912"/>
      <c r="J1667" s="912"/>
      <c r="K1667" s="913"/>
      <c r="L1667" s="913"/>
      <c r="M1667" s="913"/>
      <c r="N1667" s="913"/>
      <c r="O1667" s="913"/>
      <c r="P1667" s="913"/>
      <c r="Q1667" s="576"/>
      <c r="R1667" s="576"/>
      <c r="S1667" s="576"/>
      <c r="T1667" s="576"/>
      <c r="U1667" s="576"/>
      <c r="V1667" s="576"/>
      <c r="W1667" s="576"/>
      <c r="X1667" s="576"/>
      <c r="Y1667" s="576"/>
      <c r="Z1667" s="576"/>
    </row>
    <row r="1668" spans="1:26" ht="18.75">
      <c r="A1668" s="680"/>
      <c r="B1668" s="680"/>
      <c r="C1668" s="680"/>
      <c r="D1668" s="910"/>
      <c r="E1668" s="680"/>
      <c r="F1668" s="680"/>
      <c r="G1668" s="680"/>
      <c r="H1668" s="911"/>
      <c r="I1668" s="912"/>
      <c r="J1668" s="912"/>
      <c r="K1668" s="913"/>
      <c r="L1668" s="913"/>
      <c r="M1668" s="913"/>
      <c r="N1668" s="913"/>
      <c r="O1668" s="913"/>
      <c r="P1668" s="913"/>
      <c r="Q1668" s="576"/>
      <c r="R1668" s="576"/>
      <c r="S1668" s="576"/>
      <c r="T1668" s="576"/>
      <c r="U1668" s="576"/>
      <c r="V1668" s="576"/>
      <c r="W1668" s="576"/>
      <c r="X1668" s="576"/>
      <c r="Y1668" s="576"/>
      <c r="Z1668" s="576"/>
    </row>
    <row r="1669" spans="1:26" ht="18.75">
      <c r="A1669" s="680"/>
      <c r="B1669" s="680"/>
      <c r="C1669" s="680"/>
      <c r="D1669" s="910"/>
      <c r="E1669" s="680"/>
      <c r="F1669" s="680"/>
      <c r="G1669" s="680"/>
      <c r="H1669" s="911"/>
      <c r="I1669" s="912"/>
      <c r="J1669" s="912"/>
      <c r="K1669" s="913"/>
      <c r="L1669" s="913"/>
      <c r="M1669" s="913"/>
      <c r="N1669" s="913"/>
      <c r="O1669" s="913"/>
      <c r="P1669" s="913"/>
      <c r="Q1669" s="576"/>
      <c r="R1669" s="576"/>
      <c r="S1669" s="576"/>
      <c r="T1669" s="576"/>
      <c r="U1669" s="576"/>
      <c r="V1669" s="576"/>
      <c r="W1669" s="576"/>
      <c r="X1669" s="576"/>
      <c r="Y1669" s="576"/>
      <c r="Z1669" s="576"/>
    </row>
    <row r="1670" spans="1:26" ht="18.75">
      <c r="A1670" s="680"/>
      <c r="B1670" s="680"/>
      <c r="C1670" s="680"/>
      <c r="D1670" s="910"/>
      <c r="E1670" s="680"/>
      <c r="F1670" s="680"/>
      <c r="G1670" s="680"/>
      <c r="H1670" s="911"/>
      <c r="I1670" s="912"/>
      <c r="J1670" s="912"/>
      <c r="K1670" s="913"/>
      <c r="L1670" s="913"/>
      <c r="M1670" s="913"/>
      <c r="N1670" s="913"/>
      <c r="O1670" s="913"/>
      <c r="P1670" s="913"/>
      <c r="Q1670" s="576"/>
      <c r="R1670" s="576"/>
      <c r="S1670" s="576"/>
      <c r="T1670" s="576"/>
      <c r="U1670" s="576"/>
      <c r="V1670" s="576"/>
      <c r="W1670" s="576"/>
      <c r="X1670" s="576"/>
      <c r="Y1670" s="576"/>
      <c r="Z1670" s="576"/>
    </row>
    <row r="1671" spans="1:26" ht="18.75">
      <c r="A1671" s="680"/>
      <c r="B1671" s="680"/>
      <c r="C1671" s="680"/>
      <c r="D1671" s="910"/>
      <c r="E1671" s="680"/>
      <c r="F1671" s="680"/>
      <c r="G1671" s="680"/>
      <c r="H1671" s="911"/>
      <c r="I1671" s="912"/>
      <c r="J1671" s="912"/>
      <c r="K1671" s="913"/>
      <c r="L1671" s="913"/>
      <c r="M1671" s="913"/>
      <c r="N1671" s="913"/>
      <c r="O1671" s="913"/>
      <c r="P1671" s="913"/>
      <c r="Q1671" s="576"/>
      <c r="R1671" s="576"/>
      <c r="S1671" s="576"/>
      <c r="T1671" s="576"/>
      <c r="U1671" s="576"/>
      <c r="V1671" s="576"/>
      <c r="W1671" s="576"/>
      <c r="X1671" s="576"/>
      <c r="Y1671" s="576"/>
      <c r="Z1671" s="576"/>
    </row>
    <row r="1672" spans="1:26" ht="18.75">
      <c r="A1672" s="680"/>
      <c r="B1672" s="680"/>
      <c r="C1672" s="680"/>
      <c r="D1672" s="910"/>
      <c r="E1672" s="680"/>
      <c r="F1672" s="680"/>
      <c r="G1672" s="680"/>
      <c r="H1672" s="911"/>
      <c r="I1672" s="912"/>
      <c r="J1672" s="912"/>
      <c r="K1672" s="913"/>
      <c r="L1672" s="913"/>
      <c r="M1672" s="913"/>
      <c r="N1672" s="913"/>
      <c r="O1672" s="913"/>
      <c r="P1672" s="913"/>
      <c r="Q1672" s="576"/>
      <c r="R1672" s="576"/>
      <c r="S1672" s="576"/>
      <c r="T1672" s="576"/>
      <c r="U1672" s="576"/>
      <c r="V1672" s="576"/>
      <c r="W1672" s="576"/>
      <c r="X1672" s="576"/>
      <c r="Y1672" s="576"/>
      <c r="Z1672" s="576"/>
    </row>
    <row r="1673" spans="1:26" ht="18.75">
      <c r="A1673" s="680"/>
      <c r="B1673" s="680"/>
      <c r="C1673" s="680"/>
      <c r="D1673" s="910"/>
      <c r="E1673" s="680"/>
      <c r="F1673" s="680"/>
      <c r="G1673" s="680"/>
      <c r="H1673" s="911"/>
      <c r="I1673" s="912"/>
      <c r="J1673" s="912"/>
      <c r="K1673" s="913"/>
      <c r="L1673" s="913"/>
      <c r="M1673" s="913"/>
      <c r="N1673" s="913"/>
      <c r="O1673" s="913"/>
      <c r="P1673" s="913"/>
      <c r="Q1673" s="576"/>
      <c r="R1673" s="576"/>
      <c r="S1673" s="576"/>
      <c r="T1673" s="576"/>
      <c r="U1673" s="576"/>
      <c r="V1673" s="576"/>
      <c r="W1673" s="576"/>
      <c r="X1673" s="576"/>
      <c r="Y1673" s="576"/>
      <c r="Z1673" s="576"/>
    </row>
    <row r="1674" spans="1:26" ht="18.75">
      <c r="A1674" s="680"/>
      <c r="B1674" s="680"/>
      <c r="C1674" s="680"/>
      <c r="D1674" s="910"/>
      <c r="E1674" s="680"/>
      <c r="F1674" s="680"/>
      <c r="G1674" s="680"/>
      <c r="H1674" s="911"/>
      <c r="I1674" s="912"/>
      <c r="J1674" s="912"/>
      <c r="K1674" s="913"/>
      <c r="L1674" s="913"/>
      <c r="M1674" s="913"/>
      <c r="N1674" s="913"/>
      <c r="O1674" s="913"/>
      <c r="P1674" s="913"/>
      <c r="Q1674" s="576"/>
      <c r="R1674" s="576"/>
      <c r="S1674" s="576"/>
      <c r="T1674" s="576"/>
      <c r="U1674" s="576"/>
      <c r="V1674" s="576"/>
      <c r="W1674" s="576"/>
      <c r="X1674" s="576"/>
      <c r="Y1674" s="576"/>
      <c r="Z1674" s="576"/>
    </row>
    <row r="1675" spans="1:26" ht="18.75">
      <c r="A1675" s="680"/>
      <c r="B1675" s="680"/>
      <c r="C1675" s="680"/>
      <c r="D1675" s="910"/>
      <c r="E1675" s="680"/>
      <c r="F1675" s="680"/>
      <c r="G1675" s="680"/>
      <c r="H1675" s="911"/>
      <c r="I1675" s="912"/>
      <c r="J1675" s="912"/>
      <c r="K1675" s="913"/>
      <c r="L1675" s="913"/>
      <c r="M1675" s="913"/>
      <c r="N1675" s="913"/>
      <c r="O1675" s="913"/>
      <c r="P1675" s="913"/>
      <c r="Q1675" s="576"/>
      <c r="R1675" s="576"/>
      <c r="S1675" s="576"/>
      <c r="T1675" s="576"/>
      <c r="U1675" s="576"/>
      <c r="V1675" s="576"/>
      <c r="W1675" s="576"/>
      <c r="X1675" s="576"/>
      <c r="Y1675" s="576"/>
      <c r="Z1675" s="576"/>
    </row>
    <row r="1676" spans="1:26" ht="18.75">
      <c r="A1676" s="680"/>
      <c r="B1676" s="680"/>
      <c r="C1676" s="680"/>
      <c r="D1676" s="910"/>
      <c r="E1676" s="680"/>
      <c r="F1676" s="680"/>
      <c r="G1676" s="680"/>
      <c r="H1676" s="911"/>
      <c r="I1676" s="912"/>
      <c r="J1676" s="912"/>
      <c r="K1676" s="913"/>
      <c r="L1676" s="913"/>
      <c r="M1676" s="913"/>
      <c r="N1676" s="913"/>
      <c r="O1676" s="913"/>
      <c r="P1676" s="913"/>
      <c r="Q1676" s="576"/>
      <c r="R1676" s="576"/>
      <c r="S1676" s="576"/>
      <c r="T1676" s="576"/>
      <c r="U1676" s="576"/>
      <c r="V1676" s="576"/>
      <c r="W1676" s="576"/>
      <c r="X1676" s="576"/>
      <c r="Y1676" s="576"/>
      <c r="Z1676" s="576"/>
    </row>
    <row r="1677" spans="1:26" ht="18.75">
      <c r="A1677" s="680"/>
      <c r="B1677" s="680"/>
      <c r="C1677" s="680"/>
      <c r="D1677" s="910"/>
      <c r="E1677" s="680"/>
      <c r="F1677" s="680"/>
      <c r="G1677" s="680"/>
      <c r="H1677" s="911"/>
      <c r="I1677" s="912"/>
      <c r="J1677" s="912"/>
      <c r="K1677" s="913"/>
      <c r="L1677" s="913"/>
      <c r="M1677" s="913"/>
      <c r="N1677" s="913"/>
      <c r="O1677" s="913"/>
      <c r="P1677" s="913"/>
      <c r="Q1677" s="576"/>
      <c r="R1677" s="576"/>
      <c r="S1677" s="576"/>
      <c r="T1677" s="576"/>
      <c r="U1677" s="576"/>
      <c r="V1677" s="576"/>
      <c r="W1677" s="576"/>
      <c r="X1677" s="576"/>
      <c r="Y1677" s="576"/>
      <c r="Z1677" s="576"/>
    </row>
    <row r="1678" spans="1:26" ht="18.75">
      <c r="A1678" s="680"/>
      <c r="B1678" s="680"/>
      <c r="C1678" s="680"/>
      <c r="D1678" s="910"/>
      <c r="E1678" s="680"/>
      <c r="F1678" s="680"/>
      <c r="G1678" s="680"/>
      <c r="H1678" s="911"/>
      <c r="I1678" s="912"/>
      <c r="J1678" s="912"/>
      <c r="K1678" s="913"/>
      <c r="L1678" s="913"/>
      <c r="M1678" s="913"/>
      <c r="N1678" s="913"/>
      <c r="O1678" s="913"/>
      <c r="P1678" s="913"/>
      <c r="Q1678" s="576"/>
      <c r="R1678" s="576"/>
      <c r="S1678" s="576"/>
      <c r="T1678" s="576"/>
      <c r="U1678" s="576"/>
      <c r="V1678" s="576"/>
      <c r="W1678" s="576"/>
      <c r="X1678" s="576"/>
      <c r="Y1678" s="576"/>
      <c r="Z1678" s="576"/>
    </row>
    <row r="1679" spans="1:26" ht="18.75">
      <c r="A1679" s="680"/>
      <c r="B1679" s="680"/>
      <c r="C1679" s="680"/>
      <c r="D1679" s="910"/>
      <c r="E1679" s="680"/>
      <c r="F1679" s="680"/>
      <c r="G1679" s="680"/>
      <c r="H1679" s="911"/>
      <c r="I1679" s="912"/>
      <c r="J1679" s="912"/>
      <c r="K1679" s="913"/>
      <c r="L1679" s="913"/>
      <c r="M1679" s="913"/>
      <c r="N1679" s="913"/>
      <c r="O1679" s="913"/>
      <c r="P1679" s="913"/>
      <c r="Q1679" s="576"/>
      <c r="R1679" s="576"/>
      <c r="S1679" s="576"/>
      <c r="T1679" s="576"/>
      <c r="U1679" s="576"/>
      <c r="V1679" s="576"/>
      <c r="W1679" s="576"/>
      <c r="X1679" s="576"/>
      <c r="Y1679" s="576"/>
      <c r="Z1679" s="576"/>
    </row>
    <row r="1680" spans="1:26" ht="18.75">
      <c r="A1680" s="680"/>
      <c r="B1680" s="680"/>
      <c r="C1680" s="680"/>
      <c r="D1680" s="910"/>
      <c r="E1680" s="680"/>
      <c r="F1680" s="680"/>
      <c r="G1680" s="680"/>
      <c r="H1680" s="911"/>
      <c r="I1680" s="912"/>
      <c r="J1680" s="912"/>
      <c r="K1680" s="913"/>
      <c r="L1680" s="913"/>
      <c r="M1680" s="913"/>
      <c r="N1680" s="913"/>
      <c r="O1680" s="913"/>
      <c r="P1680" s="913"/>
      <c r="Q1680" s="576"/>
      <c r="R1680" s="576"/>
      <c r="S1680" s="576"/>
      <c r="T1680" s="576"/>
      <c r="U1680" s="576"/>
      <c r="V1680" s="576"/>
      <c r="W1680" s="576"/>
      <c r="X1680" s="576"/>
      <c r="Y1680" s="576"/>
      <c r="Z1680" s="576"/>
    </row>
    <row r="1681" spans="1:26" ht="18.75">
      <c r="A1681" s="680"/>
      <c r="B1681" s="680"/>
      <c r="C1681" s="680"/>
      <c r="D1681" s="910"/>
      <c r="E1681" s="680"/>
      <c r="F1681" s="680"/>
      <c r="G1681" s="680"/>
      <c r="H1681" s="911"/>
      <c r="I1681" s="912"/>
      <c r="J1681" s="912"/>
      <c r="K1681" s="913"/>
      <c r="L1681" s="913"/>
      <c r="M1681" s="913"/>
      <c r="N1681" s="913"/>
      <c r="O1681" s="913"/>
      <c r="P1681" s="913"/>
      <c r="Q1681" s="576"/>
      <c r="R1681" s="576"/>
      <c r="S1681" s="576"/>
      <c r="T1681" s="576"/>
      <c r="U1681" s="576"/>
      <c r="V1681" s="576"/>
      <c r="W1681" s="576"/>
      <c r="X1681" s="576"/>
      <c r="Y1681" s="576"/>
      <c r="Z1681" s="576"/>
    </row>
    <row r="1682" spans="1:26" ht="18.75">
      <c r="A1682" s="680"/>
      <c r="B1682" s="680"/>
      <c r="C1682" s="680"/>
      <c r="D1682" s="910"/>
      <c r="E1682" s="680"/>
      <c r="F1682" s="680"/>
      <c r="G1682" s="680"/>
      <c r="H1682" s="911"/>
      <c r="I1682" s="912"/>
      <c r="J1682" s="912"/>
      <c r="K1682" s="913"/>
      <c r="L1682" s="913"/>
      <c r="M1682" s="913"/>
      <c r="N1682" s="913"/>
      <c r="O1682" s="913"/>
      <c r="P1682" s="913"/>
      <c r="Q1682" s="576"/>
      <c r="R1682" s="576"/>
      <c r="S1682" s="576"/>
      <c r="T1682" s="576"/>
      <c r="U1682" s="576"/>
      <c r="V1682" s="576"/>
      <c r="W1682" s="576"/>
      <c r="X1682" s="576"/>
      <c r="Y1682" s="576"/>
      <c r="Z1682" s="576"/>
    </row>
    <row r="1683" spans="1:26" ht="18.75">
      <c r="A1683" s="680"/>
      <c r="B1683" s="680"/>
      <c r="C1683" s="680"/>
      <c r="D1683" s="910"/>
      <c r="E1683" s="680"/>
      <c r="F1683" s="680"/>
      <c r="G1683" s="680"/>
      <c r="H1683" s="911"/>
      <c r="I1683" s="912"/>
      <c r="J1683" s="912"/>
      <c r="K1683" s="913"/>
      <c r="L1683" s="913"/>
      <c r="M1683" s="913"/>
      <c r="N1683" s="913"/>
      <c r="O1683" s="913"/>
      <c r="P1683" s="913"/>
      <c r="Q1683" s="576"/>
      <c r="R1683" s="576"/>
      <c r="S1683" s="576"/>
      <c r="T1683" s="576"/>
      <c r="U1683" s="576"/>
      <c r="V1683" s="576"/>
      <c r="W1683" s="576"/>
      <c r="X1683" s="576"/>
      <c r="Y1683" s="576"/>
      <c r="Z1683" s="576"/>
    </row>
    <row r="1684" spans="1:26" ht="18.75">
      <c r="A1684" s="680"/>
      <c r="B1684" s="680"/>
      <c r="C1684" s="680"/>
      <c r="D1684" s="910"/>
      <c r="E1684" s="680"/>
      <c r="F1684" s="680"/>
      <c r="G1684" s="680"/>
      <c r="H1684" s="911"/>
      <c r="I1684" s="912"/>
      <c r="J1684" s="912"/>
      <c r="K1684" s="913"/>
      <c r="L1684" s="913"/>
      <c r="M1684" s="913"/>
      <c r="N1684" s="913"/>
      <c r="O1684" s="913"/>
      <c r="P1684" s="913"/>
      <c r="Q1684" s="576"/>
      <c r="R1684" s="576"/>
      <c r="S1684" s="576"/>
      <c r="T1684" s="576"/>
      <c r="U1684" s="576"/>
      <c r="V1684" s="576"/>
      <c r="W1684" s="576"/>
      <c r="X1684" s="576"/>
      <c r="Y1684" s="576"/>
      <c r="Z1684" s="576"/>
    </row>
    <row r="1685" spans="1:26" ht="18.75">
      <c r="A1685" s="680"/>
      <c r="B1685" s="680"/>
      <c r="C1685" s="680"/>
      <c r="D1685" s="910"/>
      <c r="E1685" s="680"/>
      <c r="F1685" s="680"/>
      <c r="G1685" s="680"/>
      <c r="H1685" s="911"/>
      <c r="I1685" s="912"/>
      <c r="J1685" s="912"/>
      <c r="K1685" s="913"/>
      <c r="L1685" s="913"/>
      <c r="M1685" s="913"/>
      <c r="N1685" s="913"/>
      <c r="O1685" s="913"/>
      <c r="P1685" s="913"/>
      <c r="Q1685" s="576"/>
      <c r="R1685" s="576"/>
      <c r="S1685" s="576"/>
      <c r="T1685" s="576"/>
      <c r="U1685" s="576"/>
      <c r="V1685" s="576"/>
      <c r="W1685" s="576"/>
      <c r="X1685" s="576"/>
      <c r="Y1685" s="576"/>
      <c r="Z1685" s="576"/>
    </row>
    <row r="1686" spans="1:26" ht="18.75">
      <c r="A1686" s="680"/>
      <c r="B1686" s="680"/>
      <c r="C1686" s="680"/>
      <c r="D1686" s="910"/>
      <c r="E1686" s="680"/>
      <c r="F1686" s="680"/>
      <c r="G1686" s="680"/>
      <c r="H1686" s="911"/>
      <c r="I1686" s="912"/>
      <c r="J1686" s="912"/>
      <c r="K1686" s="913"/>
      <c r="L1686" s="913"/>
      <c r="M1686" s="913"/>
      <c r="N1686" s="913"/>
      <c r="O1686" s="913"/>
      <c r="P1686" s="913"/>
      <c r="Q1686" s="576"/>
      <c r="R1686" s="576"/>
      <c r="S1686" s="576"/>
      <c r="T1686" s="576"/>
      <c r="U1686" s="576"/>
      <c r="V1686" s="576"/>
      <c r="W1686" s="576"/>
      <c r="X1686" s="576"/>
      <c r="Y1686" s="576"/>
      <c r="Z1686" s="576"/>
    </row>
    <row r="1687" spans="1:26" ht="18.75">
      <c r="A1687" s="680"/>
      <c r="B1687" s="680"/>
      <c r="C1687" s="680"/>
      <c r="D1687" s="910"/>
      <c r="E1687" s="680"/>
      <c r="F1687" s="680"/>
      <c r="G1687" s="680"/>
      <c r="H1687" s="911"/>
      <c r="I1687" s="912"/>
      <c r="J1687" s="912"/>
      <c r="K1687" s="913"/>
      <c r="L1687" s="913"/>
      <c r="M1687" s="913"/>
      <c r="N1687" s="913"/>
      <c r="O1687" s="913"/>
      <c r="P1687" s="913"/>
      <c r="Q1687" s="576"/>
      <c r="R1687" s="576"/>
      <c r="S1687" s="576"/>
      <c r="T1687" s="576"/>
      <c r="U1687" s="576"/>
      <c r="V1687" s="576"/>
      <c r="W1687" s="576"/>
      <c r="X1687" s="576"/>
      <c r="Y1687" s="576"/>
      <c r="Z1687" s="576"/>
    </row>
    <row r="1688" spans="1:26" ht="18.75">
      <c r="A1688" s="680"/>
      <c r="B1688" s="680"/>
      <c r="C1688" s="680"/>
      <c r="D1688" s="910"/>
      <c r="E1688" s="680"/>
      <c r="F1688" s="680"/>
      <c r="G1688" s="680"/>
      <c r="H1688" s="911"/>
      <c r="I1688" s="912"/>
      <c r="J1688" s="912"/>
      <c r="K1688" s="913"/>
      <c r="L1688" s="913"/>
      <c r="M1688" s="913"/>
      <c r="N1688" s="913"/>
      <c r="O1688" s="913"/>
      <c r="P1688" s="913"/>
      <c r="Q1688" s="576"/>
      <c r="R1688" s="576"/>
      <c r="S1688" s="576"/>
      <c r="T1688" s="576"/>
      <c r="U1688" s="576"/>
      <c r="V1688" s="576"/>
      <c r="W1688" s="576"/>
      <c r="X1688" s="576"/>
      <c r="Y1688" s="576"/>
      <c r="Z1688" s="576"/>
    </row>
    <row r="1689" spans="1:26" ht="18.75">
      <c r="A1689" s="680"/>
      <c r="B1689" s="680"/>
      <c r="C1689" s="680"/>
      <c r="D1689" s="910"/>
      <c r="E1689" s="680"/>
      <c r="F1689" s="680"/>
      <c r="G1689" s="680"/>
      <c r="H1689" s="911"/>
      <c r="I1689" s="912"/>
      <c r="J1689" s="912"/>
      <c r="K1689" s="913"/>
      <c r="L1689" s="913"/>
      <c r="M1689" s="913"/>
      <c r="N1689" s="913"/>
      <c r="O1689" s="913"/>
      <c r="P1689" s="913"/>
      <c r="Q1689" s="576"/>
      <c r="R1689" s="576"/>
      <c r="S1689" s="576"/>
      <c r="T1689" s="576"/>
      <c r="U1689" s="576"/>
      <c r="V1689" s="576"/>
      <c r="W1689" s="576"/>
      <c r="X1689" s="576"/>
      <c r="Y1689" s="576"/>
      <c r="Z1689" s="576"/>
    </row>
    <row r="1690" spans="1:26" ht="18.75">
      <c r="A1690" s="680"/>
      <c r="B1690" s="680"/>
      <c r="C1690" s="680"/>
      <c r="D1690" s="910"/>
      <c r="E1690" s="680"/>
      <c r="F1690" s="680"/>
      <c r="G1690" s="680"/>
      <c r="H1690" s="911"/>
      <c r="I1690" s="912"/>
      <c r="J1690" s="912"/>
      <c r="K1690" s="913"/>
      <c r="L1690" s="913"/>
      <c r="M1690" s="913"/>
      <c r="N1690" s="913"/>
      <c r="O1690" s="913"/>
      <c r="P1690" s="913"/>
      <c r="Q1690" s="576"/>
      <c r="R1690" s="576"/>
      <c r="S1690" s="576"/>
      <c r="T1690" s="576"/>
      <c r="U1690" s="576"/>
      <c r="V1690" s="576"/>
      <c r="W1690" s="576"/>
      <c r="X1690" s="576"/>
      <c r="Y1690" s="576"/>
      <c r="Z1690" s="576"/>
    </row>
    <row r="1691" spans="1:26" ht="18.75">
      <c r="A1691" s="680"/>
      <c r="B1691" s="680"/>
      <c r="C1691" s="680"/>
      <c r="D1691" s="910"/>
      <c r="E1691" s="680"/>
      <c r="F1691" s="680"/>
      <c r="G1691" s="680"/>
      <c r="H1691" s="911"/>
      <c r="I1691" s="912"/>
      <c r="J1691" s="912"/>
      <c r="K1691" s="913"/>
      <c r="L1691" s="913"/>
      <c r="M1691" s="913"/>
      <c r="N1691" s="913"/>
      <c r="O1691" s="913"/>
      <c r="P1691" s="913"/>
      <c r="Q1691" s="576"/>
      <c r="R1691" s="576"/>
      <c r="S1691" s="576"/>
      <c r="T1691" s="576"/>
      <c r="U1691" s="576"/>
      <c r="V1691" s="576"/>
      <c r="W1691" s="576"/>
      <c r="X1691" s="576"/>
      <c r="Y1691" s="576"/>
      <c r="Z1691" s="576"/>
    </row>
    <row r="1692" spans="1:26" ht="18.75">
      <c r="A1692" s="680"/>
      <c r="B1692" s="680"/>
      <c r="C1692" s="680"/>
      <c r="D1692" s="910"/>
      <c r="E1692" s="680"/>
      <c r="F1692" s="680"/>
      <c r="G1692" s="680"/>
      <c r="H1692" s="911"/>
      <c r="I1692" s="912"/>
      <c r="J1692" s="912"/>
      <c r="K1692" s="913"/>
      <c r="L1692" s="913"/>
      <c r="M1692" s="913"/>
      <c r="N1692" s="913"/>
      <c r="O1692" s="913"/>
      <c r="P1692" s="913"/>
      <c r="Q1692" s="576"/>
      <c r="R1692" s="576"/>
      <c r="S1692" s="576"/>
      <c r="T1692" s="576"/>
      <c r="U1692" s="576"/>
      <c r="V1692" s="576"/>
      <c r="W1692" s="576"/>
      <c r="X1692" s="576"/>
      <c r="Y1692" s="576"/>
      <c r="Z1692" s="576"/>
    </row>
    <row r="1693" spans="1:26" ht="18.75">
      <c r="A1693" s="680"/>
      <c r="B1693" s="680"/>
      <c r="C1693" s="680"/>
      <c r="D1693" s="910"/>
      <c r="E1693" s="680"/>
      <c r="F1693" s="680"/>
      <c r="G1693" s="680"/>
      <c r="H1693" s="911"/>
      <c r="I1693" s="912"/>
      <c r="J1693" s="912"/>
      <c r="K1693" s="913"/>
      <c r="L1693" s="913"/>
      <c r="M1693" s="913"/>
      <c r="N1693" s="913"/>
      <c r="O1693" s="913"/>
      <c r="P1693" s="913"/>
      <c r="Q1693" s="576"/>
      <c r="R1693" s="576"/>
      <c r="S1693" s="576"/>
      <c r="T1693" s="576"/>
      <c r="U1693" s="576"/>
      <c r="V1693" s="576"/>
      <c r="W1693" s="576"/>
      <c r="X1693" s="576"/>
      <c r="Y1693" s="576"/>
      <c r="Z1693" s="576"/>
    </row>
    <row r="1694" spans="1:26" ht="18.75">
      <c r="A1694" s="680"/>
      <c r="B1694" s="680"/>
      <c r="C1694" s="680"/>
      <c r="D1694" s="910"/>
      <c r="E1694" s="680"/>
      <c r="F1694" s="680"/>
      <c r="G1694" s="680"/>
      <c r="H1694" s="911"/>
      <c r="I1694" s="912"/>
      <c r="J1694" s="912"/>
      <c r="K1694" s="913"/>
      <c r="L1694" s="913"/>
      <c r="M1694" s="913"/>
      <c r="N1694" s="913"/>
      <c r="O1694" s="913"/>
      <c r="P1694" s="913"/>
      <c r="Q1694" s="576"/>
      <c r="R1694" s="576"/>
      <c r="S1694" s="576"/>
      <c r="T1694" s="576"/>
      <c r="U1694" s="576"/>
      <c r="V1694" s="576"/>
      <c r="W1694" s="576"/>
      <c r="X1694" s="576"/>
      <c r="Y1694" s="576"/>
      <c r="Z1694" s="576"/>
    </row>
    <row r="1695" spans="1:26" ht="18.75">
      <c r="A1695" s="680"/>
      <c r="B1695" s="680"/>
      <c r="C1695" s="680"/>
      <c r="D1695" s="910"/>
      <c r="E1695" s="680"/>
      <c r="F1695" s="680"/>
      <c r="G1695" s="680"/>
      <c r="H1695" s="911"/>
      <c r="I1695" s="912"/>
      <c r="J1695" s="912"/>
      <c r="K1695" s="913"/>
      <c r="L1695" s="913"/>
      <c r="M1695" s="913"/>
      <c r="N1695" s="913"/>
      <c r="O1695" s="913"/>
      <c r="P1695" s="913"/>
      <c r="Q1695" s="576"/>
      <c r="R1695" s="576"/>
      <c r="S1695" s="576"/>
      <c r="T1695" s="576"/>
      <c r="U1695" s="576"/>
      <c r="V1695" s="576"/>
      <c r="W1695" s="576"/>
      <c r="X1695" s="576"/>
      <c r="Y1695" s="576"/>
      <c r="Z1695" s="576"/>
    </row>
    <row r="1696" spans="1:26" ht="18.75">
      <c r="A1696" s="680"/>
      <c r="B1696" s="680"/>
      <c r="C1696" s="680"/>
      <c r="D1696" s="910"/>
      <c r="E1696" s="680"/>
      <c r="F1696" s="680"/>
      <c r="G1696" s="680"/>
      <c r="H1696" s="911"/>
      <c r="I1696" s="912"/>
      <c r="J1696" s="912"/>
      <c r="K1696" s="913"/>
      <c r="L1696" s="913"/>
      <c r="M1696" s="913"/>
      <c r="N1696" s="913"/>
      <c r="O1696" s="913"/>
      <c r="P1696" s="913"/>
      <c r="Q1696" s="576"/>
      <c r="R1696" s="576"/>
      <c r="S1696" s="576"/>
      <c r="T1696" s="576"/>
      <c r="U1696" s="576"/>
      <c r="V1696" s="576"/>
      <c r="W1696" s="576"/>
      <c r="X1696" s="576"/>
      <c r="Y1696" s="576"/>
      <c r="Z1696" s="576"/>
    </row>
    <row r="1697" spans="1:26" ht="18.75">
      <c r="A1697" s="680"/>
      <c r="B1697" s="680"/>
      <c r="C1697" s="680"/>
      <c r="D1697" s="910"/>
      <c r="E1697" s="680"/>
      <c r="F1697" s="680"/>
      <c r="G1697" s="680"/>
      <c r="H1697" s="911"/>
      <c r="I1697" s="912"/>
      <c r="J1697" s="912"/>
      <c r="K1697" s="913"/>
      <c r="L1697" s="913"/>
      <c r="M1697" s="913"/>
      <c r="N1697" s="913"/>
      <c r="O1697" s="913"/>
      <c r="P1697" s="913"/>
      <c r="Q1697" s="576"/>
      <c r="R1697" s="576"/>
      <c r="S1697" s="576"/>
      <c r="T1697" s="576"/>
      <c r="U1697" s="576"/>
      <c r="V1697" s="576"/>
      <c r="W1697" s="576"/>
      <c r="X1697" s="576"/>
      <c r="Y1697" s="576"/>
      <c r="Z1697" s="576"/>
    </row>
    <row r="1698" spans="1:26" ht="18.75">
      <c r="A1698" s="680"/>
      <c r="B1698" s="680"/>
      <c r="C1698" s="680"/>
      <c r="D1698" s="910"/>
      <c r="E1698" s="680"/>
      <c r="F1698" s="680"/>
      <c r="G1698" s="680"/>
      <c r="H1698" s="911"/>
      <c r="I1698" s="912"/>
      <c r="J1698" s="912"/>
      <c r="K1698" s="913"/>
      <c r="L1698" s="913"/>
      <c r="M1698" s="913"/>
      <c r="N1698" s="913"/>
      <c r="O1698" s="913"/>
      <c r="P1698" s="913"/>
      <c r="Q1698" s="576"/>
      <c r="R1698" s="576"/>
      <c r="S1698" s="576"/>
      <c r="T1698" s="576"/>
      <c r="U1698" s="576"/>
      <c r="V1698" s="576"/>
      <c r="W1698" s="576"/>
      <c r="X1698" s="576"/>
      <c r="Y1698" s="576"/>
      <c r="Z1698" s="576"/>
    </row>
    <row r="1699" spans="1:26" ht="18.75">
      <c r="A1699" s="680"/>
      <c r="B1699" s="680"/>
      <c r="C1699" s="680"/>
      <c r="D1699" s="910"/>
      <c r="E1699" s="680"/>
      <c r="F1699" s="680"/>
      <c r="G1699" s="680"/>
      <c r="H1699" s="911"/>
      <c r="I1699" s="912"/>
      <c r="J1699" s="912"/>
      <c r="K1699" s="913"/>
      <c r="L1699" s="913"/>
      <c r="M1699" s="913"/>
      <c r="N1699" s="913"/>
      <c r="O1699" s="913"/>
      <c r="P1699" s="913"/>
      <c r="Q1699" s="576"/>
      <c r="R1699" s="576"/>
      <c r="S1699" s="576"/>
      <c r="T1699" s="576"/>
      <c r="U1699" s="576"/>
      <c r="V1699" s="576"/>
      <c r="W1699" s="576"/>
      <c r="X1699" s="576"/>
      <c r="Y1699" s="576"/>
      <c r="Z1699" s="576"/>
    </row>
    <row r="1700" spans="1:26" ht="18.75">
      <c r="A1700" s="680"/>
      <c r="B1700" s="680"/>
      <c r="C1700" s="680"/>
      <c r="D1700" s="910"/>
      <c r="E1700" s="680"/>
      <c r="F1700" s="680"/>
      <c r="G1700" s="680"/>
      <c r="H1700" s="911"/>
      <c r="I1700" s="912"/>
      <c r="J1700" s="912"/>
      <c r="K1700" s="913"/>
      <c r="L1700" s="913"/>
      <c r="M1700" s="913"/>
      <c r="N1700" s="913"/>
      <c r="O1700" s="913"/>
      <c r="P1700" s="913"/>
      <c r="Q1700" s="576"/>
      <c r="R1700" s="576"/>
      <c r="S1700" s="576"/>
      <c r="T1700" s="576"/>
      <c r="U1700" s="576"/>
      <c r="V1700" s="576"/>
      <c r="W1700" s="576"/>
      <c r="X1700" s="576"/>
      <c r="Y1700" s="576"/>
      <c r="Z1700" s="576"/>
    </row>
    <row r="1701" spans="1:26" ht="18.75">
      <c r="A1701" s="680"/>
      <c r="B1701" s="680"/>
      <c r="C1701" s="680"/>
      <c r="D1701" s="910"/>
      <c r="E1701" s="680"/>
      <c r="F1701" s="680"/>
      <c r="G1701" s="680"/>
      <c r="H1701" s="911"/>
      <c r="I1701" s="912"/>
      <c r="J1701" s="912"/>
      <c r="K1701" s="913"/>
      <c r="L1701" s="913"/>
      <c r="M1701" s="913"/>
      <c r="N1701" s="913"/>
      <c r="O1701" s="913"/>
      <c r="P1701" s="913"/>
      <c r="Q1701" s="576"/>
      <c r="R1701" s="576"/>
      <c r="S1701" s="576"/>
      <c r="T1701" s="576"/>
      <c r="U1701" s="576"/>
      <c r="V1701" s="576"/>
      <c r="W1701" s="576"/>
      <c r="X1701" s="576"/>
      <c r="Y1701" s="576"/>
      <c r="Z1701" s="576"/>
    </row>
    <row r="1702" spans="1:26" ht="18.75">
      <c r="A1702" s="680"/>
      <c r="B1702" s="680"/>
      <c r="C1702" s="680"/>
      <c r="D1702" s="910"/>
      <c r="E1702" s="680"/>
      <c r="F1702" s="680"/>
      <c r="G1702" s="680"/>
      <c r="H1702" s="911"/>
      <c r="I1702" s="912"/>
      <c r="J1702" s="912"/>
      <c r="K1702" s="913"/>
      <c r="L1702" s="913"/>
      <c r="M1702" s="913"/>
      <c r="N1702" s="913"/>
      <c r="O1702" s="913"/>
      <c r="P1702" s="913"/>
      <c r="Q1702" s="576"/>
      <c r="R1702" s="576"/>
      <c r="S1702" s="576"/>
      <c r="T1702" s="576"/>
      <c r="U1702" s="576"/>
      <c r="V1702" s="576"/>
      <c r="W1702" s="576"/>
      <c r="X1702" s="576"/>
      <c r="Y1702" s="576"/>
      <c r="Z1702" s="576"/>
    </row>
    <row r="1703" spans="1:26" ht="18.75">
      <c r="A1703" s="680"/>
      <c r="B1703" s="680"/>
      <c r="C1703" s="680"/>
      <c r="D1703" s="910"/>
      <c r="E1703" s="680"/>
      <c r="F1703" s="680"/>
      <c r="G1703" s="680"/>
      <c r="H1703" s="911"/>
      <c r="I1703" s="912"/>
      <c r="J1703" s="912"/>
      <c r="K1703" s="913"/>
      <c r="L1703" s="913"/>
      <c r="M1703" s="913"/>
      <c r="N1703" s="913"/>
      <c r="O1703" s="913"/>
      <c r="P1703" s="913"/>
      <c r="Q1703" s="576"/>
      <c r="R1703" s="576"/>
      <c r="S1703" s="576"/>
      <c r="T1703" s="576"/>
      <c r="U1703" s="576"/>
      <c r="V1703" s="576"/>
      <c r="W1703" s="576"/>
      <c r="X1703" s="576"/>
      <c r="Y1703" s="576"/>
      <c r="Z1703" s="576"/>
    </row>
    <row r="1704" spans="1:26" ht="18.75">
      <c r="A1704" s="680"/>
      <c r="B1704" s="680"/>
      <c r="C1704" s="680"/>
      <c r="D1704" s="910"/>
      <c r="E1704" s="680"/>
      <c r="F1704" s="680"/>
      <c r="G1704" s="680"/>
      <c r="H1704" s="911"/>
      <c r="I1704" s="912"/>
      <c r="J1704" s="912"/>
      <c r="K1704" s="913"/>
      <c r="L1704" s="913"/>
      <c r="M1704" s="913"/>
      <c r="N1704" s="913"/>
      <c r="O1704" s="913"/>
      <c r="P1704" s="913"/>
      <c r="Q1704" s="576"/>
      <c r="R1704" s="576"/>
      <c r="S1704" s="576"/>
      <c r="T1704" s="576"/>
      <c r="U1704" s="576"/>
      <c r="V1704" s="576"/>
      <c r="W1704" s="576"/>
      <c r="X1704" s="576"/>
      <c r="Y1704" s="576"/>
      <c r="Z1704" s="576"/>
    </row>
    <row r="1705" spans="1:26" ht="18.75">
      <c r="A1705" s="680"/>
      <c r="B1705" s="680"/>
      <c r="C1705" s="680"/>
      <c r="D1705" s="910"/>
      <c r="E1705" s="680"/>
      <c r="F1705" s="680"/>
      <c r="G1705" s="680"/>
      <c r="H1705" s="911"/>
      <c r="I1705" s="912"/>
      <c r="J1705" s="912"/>
      <c r="K1705" s="913"/>
      <c r="L1705" s="913"/>
      <c r="M1705" s="913"/>
      <c r="N1705" s="913"/>
      <c r="O1705" s="913"/>
      <c r="P1705" s="913"/>
      <c r="Q1705" s="576"/>
      <c r="R1705" s="576"/>
      <c r="S1705" s="576"/>
      <c r="T1705" s="576"/>
      <c r="U1705" s="576"/>
      <c r="V1705" s="576"/>
      <c r="W1705" s="576"/>
      <c r="X1705" s="576"/>
      <c r="Y1705" s="576"/>
      <c r="Z1705" s="576"/>
    </row>
    <row r="1706" spans="1:26" ht="18.75">
      <c r="A1706" s="680"/>
      <c r="B1706" s="680"/>
      <c r="C1706" s="680"/>
      <c r="D1706" s="910"/>
      <c r="E1706" s="680"/>
      <c r="F1706" s="680"/>
      <c r="G1706" s="680"/>
      <c r="H1706" s="911"/>
      <c r="I1706" s="912"/>
      <c r="J1706" s="912"/>
      <c r="K1706" s="913"/>
      <c r="L1706" s="913"/>
      <c r="M1706" s="913"/>
      <c r="N1706" s="913"/>
      <c r="O1706" s="913"/>
      <c r="P1706" s="913"/>
      <c r="Q1706" s="576"/>
      <c r="R1706" s="576"/>
      <c r="S1706" s="576"/>
      <c r="T1706" s="576"/>
      <c r="U1706" s="576"/>
      <c r="V1706" s="576"/>
      <c r="W1706" s="576"/>
      <c r="X1706" s="576"/>
      <c r="Y1706" s="576"/>
      <c r="Z1706" s="576"/>
    </row>
    <row r="1707" spans="1:26" ht="18.75">
      <c r="A1707" s="680"/>
      <c r="B1707" s="680"/>
      <c r="C1707" s="680"/>
      <c r="D1707" s="910"/>
      <c r="E1707" s="680"/>
      <c r="F1707" s="680"/>
      <c r="G1707" s="680"/>
      <c r="H1707" s="911"/>
      <c r="I1707" s="912"/>
      <c r="J1707" s="912"/>
      <c r="K1707" s="913"/>
      <c r="L1707" s="913"/>
      <c r="M1707" s="913"/>
      <c r="N1707" s="913"/>
      <c r="O1707" s="913"/>
      <c r="P1707" s="913"/>
      <c r="Q1707" s="576"/>
      <c r="R1707" s="576"/>
      <c r="S1707" s="576"/>
      <c r="T1707" s="576"/>
      <c r="U1707" s="576"/>
      <c r="V1707" s="576"/>
      <c r="W1707" s="576"/>
      <c r="X1707" s="576"/>
      <c r="Y1707" s="576"/>
      <c r="Z1707" s="576"/>
    </row>
    <row r="1708" spans="1:26" ht="18.75">
      <c r="A1708" s="680"/>
      <c r="B1708" s="680"/>
      <c r="C1708" s="680"/>
      <c r="D1708" s="910"/>
      <c r="E1708" s="680"/>
      <c r="F1708" s="680"/>
      <c r="G1708" s="680"/>
      <c r="H1708" s="911"/>
      <c r="I1708" s="912"/>
      <c r="J1708" s="912"/>
      <c r="K1708" s="913"/>
      <c r="L1708" s="913"/>
      <c r="M1708" s="913"/>
      <c r="N1708" s="913"/>
      <c r="O1708" s="913"/>
      <c r="P1708" s="913"/>
      <c r="Q1708" s="576"/>
      <c r="R1708" s="576"/>
      <c r="S1708" s="576"/>
      <c r="T1708" s="576"/>
      <c r="U1708" s="576"/>
      <c r="V1708" s="576"/>
      <c r="W1708" s="576"/>
      <c r="X1708" s="576"/>
      <c r="Y1708" s="576"/>
      <c r="Z1708" s="576"/>
    </row>
    <row r="1709" spans="1:26" ht="18.75">
      <c r="A1709" s="680"/>
      <c r="B1709" s="680"/>
      <c r="C1709" s="680"/>
      <c r="D1709" s="910"/>
      <c r="E1709" s="680"/>
      <c r="F1709" s="680"/>
      <c r="G1709" s="680"/>
      <c r="H1709" s="911"/>
      <c r="I1709" s="912"/>
      <c r="J1709" s="912"/>
      <c r="K1709" s="913"/>
      <c r="L1709" s="913"/>
      <c r="M1709" s="913"/>
      <c r="N1709" s="913"/>
      <c r="O1709" s="913"/>
      <c r="P1709" s="913"/>
      <c r="Q1709" s="576"/>
      <c r="R1709" s="576"/>
      <c r="S1709" s="576"/>
      <c r="T1709" s="576"/>
      <c r="U1709" s="576"/>
      <c r="V1709" s="576"/>
      <c r="W1709" s="576"/>
      <c r="X1709" s="576"/>
      <c r="Y1709" s="576"/>
      <c r="Z1709" s="576"/>
    </row>
    <row r="1710" spans="1:26" ht="18.75">
      <c r="A1710" s="680"/>
      <c r="B1710" s="680"/>
      <c r="C1710" s="680"/>
      <c r="D1710" s="910"/>
      <c r="E1710" s="680"/>
      <c r="F1710" s="680"/>
      <c r="G1710" s="680"/>
      <c r="H1710" s="911"/>
      <c r="I1710" s="912"/>
      <c r="J1710" s="912"/>
      <c r="K1710" s="913"/>
      <c r="L1710" s="913"/>
      <c r="M1710" s="913"/>
      <c r="N1710" s="913"/>
      <c r="O1710" s="913"/>
      <c r="P1710" s="913"/>
      <c r="Q1710" s="576"/>
      <c r="R1710" s="576"/>
      <c r="S1710" s="576"/>
      <c r="T1710" s="576"/>
      <c r="U1710" s="576"/>
      <c r="V1710" s="576"/>
      <c r="W1710" s="576"/>
      <c r="X1710" s="576"/>
      <c r="Y1710" s="576"/>
      <c r="Z1710" s="576"/>
    </row>
    <row r="1711" spans="1:26" ht="18.75">
      <c r="A1711" s="680"/>
      <c r="B1711" s="680"/>
      <c r="C1711" s="680"/>
      <c r="D1711" s="910"/>
      <c r="E1711" s="680"/>
      <c r="F1711" s="680"/>
      <c r="G1711" s="680"/>
      <c r="H1711" s="911"/>
      <c r="I1711" s="912"/>
      <c r="J1711" s="912"/>
      <c r="K1711" s="913"/>
      <c r="L1711" s="913"/>
      <c r="M1711" s="913"/>
      <c r="N1711" s="913"/>
      <c r="O1711" s="913"/>
      <c r="P1711" s="913"/>
      <c r="Q1711" s="576"/>
      <c r="R1711" s="576"/>
      <c r="S1711" s="576"/>
      <c r="T1711" s="576"/>
      <c r="U1711" s="576"/>
      <c r="V1711" s="576"/>
      <c r="W1711" s="576"/>
      <c r="X1711" s="576"/>
      <c r="Y1711" s="576"/>
      <c r="Z1711" s="576"/>
    </row>
    <row r="1712" spans="1:26" ht="18.75">
      <c r="A1712" s="680"/>
      <c r="B1712" s="680"/>
      <c r="C1712" s="680"/>
      <c r="D1712" s="910"/>
      <c r="E1712" s="680"/>
      <c r="F1712" s="680"/>
      <c r="G1712" s="680"/>
      <c r="H1712" s="911"/>
      <c r="I1712" s="912"/>
      <c r="J1712" s="912"/>
      <c r="K1712" s="913"/>
      <c r="L1712" s="913"/>
      <c r="M1712" s="913"/>
      <c r="N1712" s="913"/>
      <c r="O1712" s="913"/>
      <c r="P1712" s="913"/>
      <c r="Q1712" s="576"/>
      <c r="R1712" s="576"/>
      <c r="S1712" s="576"/>
      <c r="T1712" s="576"/>
      <c r="U1712" s="576"/>
      <c r="V1712" s="576"/>
      <c r="W1712" s="576"/>
      <c r="X1712" s="576"/>
      <c r="Y1712" s="576"/>
      <c r="Z1712" s="576"/>
    </row>
    <row r="1713" spans="1:26" ht="18.75">
      <c r="A1713" s="680"/>
      <c r="B1713" s="680"/>
      <c r="C1713" s="680"/>
      <c r="D1713" s="910"/>
      <c r="E1713" s="680"/>
      <c r="F1713" s="680"/>
      <c r="G1713" s="680"/>
      <c r="H1713" s="911"/>
      <c r="I1713" s="912"/>
      <c r="J1713" s="912"/>
      <c r="K1713" s="913"/>
      <c r="L1713" s="913"/>
      <c r="M1713" s="913"/>
      <c r="N1713" s="913"/>
      <c r="O1713" s="913"/>
      <c r="P1713" s="913"/>
      <c r="Q1713" s="576"/>
      <c r="R1713" s="576"/>
      <c r="S1713" s="576"/>
      <c r="T1713" s="576"/>
      <c r="U1713" s="576"/>
      <c r="V1713" s="576"/>
      <c r="W1713" s="576"/>
      <c r="X1713" s="576"/>
      <c r="Y1713" s="576"/>
      <c r="Z1713" s="576"/>
    </row>
    <row r="1714" spans="1:26" ht="18.75">
      <c r="A1714" s="680"/>
      <c r="B1714" s="680"/>
      <c r="C1714" s="680"/>
      <c r="D1714" s="910"/>
      <c r="E1714" s="680"/>
      <c r="F1714" s="680"/>
      <c r="G1714" s="680"/>
      <c r="H1714" s="911"/>
      <c r="I1714" s="912"/>
      <c r="J1714" s="912"/>
      <c r="K1714" s="913"/>
      <c r="L1714" s="913"/>
      <c r="M1714" s="913"/>
      <c r="N1714" s="913"/>
      <c r="O1714" s="913"/>
      <c r="P1714" s="913"/>
      <c r="Q1714" s="576"/>
      <c r="R1714" s="576"/>
      <c r="S1714" s="576"/>
      <c r="T1714" s="576"/>
      <c r="U1714" s="576"/>
      <c r="V1714" s="576"/>
      <c r="W1714" s="576"/>
      <c r="X1714" s="576"/>
      <c r="Y1714" s="576"/>
      <c r="Z1714" s="576"/>
    </row>
    <row r="1715" spans="1:26" ht="18.75">
      <c r="A1715" s="680"/>
      <c r="B1715" s="680"/>
      <c r="C1715" s="680"/>
      <c r="D1715" s="910"/>
      <c r="E1715" s="680"/>
      <c r="F1715" s="680"/>
      <c r="G1715" s="680"/>
      <c r="H1715" s="911"/>
      <c r="I1715" s="912"/>
      <c r="J1715" s="912"/>
      <c r="K1715" s="913"/>
      <c r="L1715" s="913"/>
      <c r="M1715" s="913"/>
      <c r="N1715" s="913"/>
      <c r="O1715" s="913"/>
      <c r="P1715" s="913"/>
      <c r="Q1715" s="576"/>
      <c r="R1715" s="576"/>
      <c r="S1715" s="576"/>
      <c r="T1715" s="576"/>
      <c r="U1715" s="576"/>
      <c r="V1715" s="576"/>
      <c r="W1715" s="576"/>
      <c r="X1715" s="576"/>
      <c r="Y1715" s="576"/>
      <c r="Z1715" s="576"/>
    </row>
    <row r="1716" spans="1:26" ht="18.75">
      <c r="A1716" s="680"/>
      <c r="B1716" s="680"/>
      <c r="C1716" s="680"/>
      <c r="D1716" s="910"/>
      <c r="E1716" s="680"/>
      <c r="F1716" s="680"/>
      <c r="G1716" s="680"/>
      <c r="H1716" s="911"/>
      <c r="I1716" s="912"/>
      <c r="J1716" s="912"/>
      <c r="K1716" s="913"/>
      <c r="L1716" s="913"/>
      <c r="M1716" s="913"/>
      <c r="N1716" s="913"/>
      <c r="O1716" s="913"/>
      <c r="P1716" s="913"/>
      <c r="Q1716" s="576"/>
      <c r="R1716" s="576"/>
      <c r="S1716" s="576"/>
      <c r="T1716" s="576"/>
      <c r="U1716" s="576"/>
      <c r="V1716" s="576"/>
      <c r="W1716" s="576"/>
      <c r="X1716" s="576"/>
      <c r="Y1716" s="576"/>
      <c r="Z1716" s="576"/>
    </row>
    <row r="1717" spans="1:26" ht="18.75">
      <c r="A1717" s="680"/>
      <c r="B1717" s="680"/>
      <c r="C1717" s="680"/>
      <c r="D1717" s="910"/>
      <c r="E1717" s="680"/>
      <c r="F1717" s="680"/>
      <c r="G1717" s="680"/>
      <c r="H1717" s="911"/>
      <c r="I1717" s="912"/>
      <c r="J1717" s="912"/>
      <c r="K1717" s="913"/>
      <c r="L1717" s="913"/>
      <c r="M1717" s="913"/>
      <c r="N1717" s="913"/>
      <c r="O1717" s="913"/>
      <c r="P1717" s="913"/>
      <c r="Q1717" s="576"/>
      <c r="R1717" s="576"/>
      <c r="S1717" s="576"/>
      <c r="T1717" s="576"/>
      <c r="U1717" s="576"/>
      <c r="V1717" s="576"/>
      <c r="W1717" s="576"/>
      <c r="X1717" s="576"/>
      <c r="Y1717" s="576"/>
      <c r="Z1717" s="576"/>
    </row>
    <row r="1718" spans="1:26" ht="18.75">
      <c r="A1718" s="680"/>
      <c r="B1718" s="680"/>
      <c r="C1718" s="680"/>
      <c r="D1718" s="910"/>
      <c r="E1718" s="680"/>
      <c r="F1718" s="680"/>
      <c r="G1718" s="680"/>
      <c r="H1718" s="911"/>
      <c r="I1718" s="912"/>
      <c r="J1718" s="912"/>
      <c r="K1718" s="913"/>
      <c r="L1718" s="913"/>
      <c r="M1718" s="913"/>
      <c r="N1718" s="913"/>
      <c r="O1718" s="913"/>
      <c r="P1718" s="913"/>
      <c r="Q1718" s="576"/>
      <c r="R1718" s="576"/>
      <c r="S1718" s="576"/>
      <c r="T1718" s="576"/>
      <c r="U1718" s="576"/>
      <c r="V1718" s="576"/>
      <c r="W1718" s="576"/>
      <c r="X1718" s="576"/>
      <c r="Y1718" s="576"/>
      <c r="Z1718" s="576"/>
    </row>
    <row r="1719" spans="1:26" ht="18.75">
      <c r="A1719" s="680"/>
      <c r="B1719" s="680"/>
      <c r="C1719" s="680"/>
      <c r="D1719" s="910"/>
      <c r="E1719" s="680"/>
      <c r="F1719" s="680"/>
      <c r="G1719" s="680"/>
      <c r="H1719" s="911"/>
      <c r="I1719" s="912"/>
      <c r="J1719" s="912"/>
      <c r="K1719" s="913"/>
      <c r="L1719" s="913"/>
      <c r="M1719" s="913"/>
      <c r="N1719" s="913"/>
      <c r="O1719" s="913"/>
      <c r="P1719" s="913"/>
      <c r="Q1719" s="576"/>
      <c r="R1719" s="576"/>
      <c r="S1719" s="576"/>
      <c r="T1719" s="576"/>
      <c r="U1719" s="576"/>
      <c r="V1719" s="576"/>
      <c r="W1719" s="576"/>
      <c r="X1719" s="576"/>
      <c r="Y1719" s="576"/>
      <c r="Z1719" s="576"/>
    </row>
    <row r="1720" spans="1:26" ht="18.75">
      <c r="A1720" s="680"/>
      <c r="B1720" s="680"/>
      <c r="C1720" s="680"/>
      <c r="D1720" s="910"/>
      <c r="E1720" s="680"/>
      <c r="F1720" s="680"/>
      <c r="G1720" s="680"/>
      <c r="H1720" s="911"/>
      <c r="I1720" s="912"/>
      <c r="J1720" s="912"/>
      <c r="K1720" s="913"/>
      <c r="L1720" s="913"/>
      <c r="M1720" s="913"/>
      <c r="N1720" s="913"/>
      <c r="O1720" s="913"/>
      <c r="P1720" s="913"/>
      <c r="Q1720" s="576"/>
      <c r="R1720" s="576"/>
      <c r="S1720" s="576"/>
      <c r="T1720" s="576"/>
      <c r="U1720" s="576"/>
      <c r="V1720" s="576"/>
      <c r="W1720" s="576"/>
      <c r="X1720" s="576"/>
      <c r="Y1720" s="576"/>
      <c r="Z1720" s="576"/>
    </row>
    <row r="1721" spans="1:26" ht="18.75">
      <c r="A1721" s="680"/>
      <c r="B1721" s="680"/>
      <c r="C1721" s="680"/>
      <c r="D1721" s="910"/>
      <c r="E1721" s="680"/>
      <c r="F1721" s="680"/>
      <c r="G1721" s="680"/>
      <c r="H1721" s="911"/>
      <c r="I1721" s="912"/>
      <c r="J1721" s="912"/>
      <c r="K1721" s="913"/>
      <c r="L1721" s="913"/>
      <c r="M1721" s="913"/>
      <c r="N1721" s="913"/>
      <c r="O1721" s="913"/>
      <c r="P1721" s="913"/>
      <c r="Q1721" s="576"/>
      <c r="R1721" s="576"/>
      <c r="S1721" s="576"/>
      <c r="T1721" s="576"/>
      <c r="U1721" s="576"/>
      <c r="V1721" s="576"/>
      <c r="W1721" s="576"/>
      <c r="X1721" s="576"/>
      <c r="Y1721" s="576"/>
      <c r="Z1721" s="576"/>
    </row>
    <row r="1722" spans="1:26" ht="18.75">
      <c r="A1722" s="680"/>
      <c r="B1722" s="680"/>
      <c r="C1722" s="680"/>
      <c r="D1722" s="910"/>
      <c r="E1722" s="680"/>
      <c r="F1722" s="680"/>
      <c r="G1722" s="680"/>
      <c r="H1722" s="911"/>
      <c r="I1722" s="912"/>
      <c r="J1722" s="912"/>
      <c r="K1722" s="913"/>
      <c r="L1722" s="913"/>
      <c r="M1722" s="913"/>
      <c r="N1722" s="913"/>
      <c r="O1722" s="913"/>
      <c r="P1722" s="913"/>
      <c r="Q1722" s="576"/>
      <c r="R1722" s="576"/>
      <c r="S1722" s="576"/>
      <c r="T1722" s="576"/>
      <c r="U1722" s="576"/>
      <c r="V1722" s="576"/>
      <c r="W1722" s="576"/>
      <c r="X1722" s="576"/>
      <c r="Y1722" s="576"/>
      <c r="Z1722" s="576"/>
    </row>
    <row r="1723" spans="1:26" ht="18.75">
      <c r="A1723" s="680"/>
      <c r="B1723" s="680"/>
      <c r="C1723" s="680"/>
      <c r="D1723" s="910"/>
      <c r="E1723" s="680"/>
      <c r="F1723" s="680"/>
      <c r="G1723" s="680"/>
      <c r="H1723" s="911"/>
      <c r="I1723" s="912"/>
      <c r="J1723" s="912"/>
      <c r="K1723" s="913"/>
      <c r="L1723" s="913"/>
      <c r="M1723" s="913"/>
      <c r="N1723" s="913"/>
      <c r="O1723" s="913"/>
      <c r="P1723" s="913"/>
      <c r="Q1723" s="576"/>
      <c r="R1723" s="576"/>
      <c r="S1723" s="576"/>
      <c r="T1723" s="576"/>
      <c r="U1723" s="576"/>
      <c r="V1723" s="576"/>
      <c r="W1723" s="576"/>
      <c r="X1723" s="576"/>
      <c r="Y1723" s="576"/>
      <c r="Z1723" s="576"/>
    </row>
    <row r="1724" spans="1:26" ht="18.75">
      <c r="A1724" s="680"/>
      <c r="B1724" s="680"/>
      <c r="C1724" s="680"/>
      <c r="D1724" s="910"/>
      <c r="E1724" s="680"/>
      <c r="F1724" s="680"/>
      <c r="G1724" s="680"/>
      <c r="H1724" s="911"/>
      <c r="I1724" s="912"/>
      <c r="J1724" s="912"/>
      <c r="K1724" s="913"/>
      <c r="L1724" s="913"/>
      <c r="M1724" s="913"/>
      <c r="N1724" s="913"/>
      <c r="O1724" s="913"/>
      <c r="P1724" s="913"/>
      <c r="Q1724" s="576"/>
      <c r="R1724" s="576"/>
      <c r="S1724" s="576"/>
      <c r="T1724" s="576"/>
      <c r="U1724" s="576"/>
      <c r="V1724" s="576"/>
      <c r="W1724" s="576"/>
      <c r="X1724" s="576"/>
      <c r="Y1724" s="576"/>
      <c r="Z1724" s="576"/>
    </row>
    <row r="1725" spans="1:26" ht="18.75">
      <c r="A1725" s="680"/>
      <c r="B1725" s="680"/>
      <c r="C1725" s="680"/>
      <c r="D1725" s="910"/>
      <c r="E1725" s="680"/>
      <c r="F1725" s="680"/>
      <c r="G1725" s="680"/>
      <c r="H1725" s="911"/>
      <c r="I1725" s="912"/>
      <c r="J1725" s="912"/>
      <c r="K1725" s="913"/>
      <c r="L1725" s="913"/>
      <c r="M1725" s="913"/>
      <c r="N1725" s="913"/>
      <c r="O1725" s="913"/>
      <c r="P1725" s="913"/>
      <c r="Q1725" s="576"/>
      <c r="R1725" s="576"/>
      <c r="S1725" s="576"/>
      <c r="T1725" s="576"/>
      <c r="U1725" s="576"/>
      <c r="V1725" s="576"/>
      <c r="W1725" s="576"/>
      <c r="X1725" s="576"/>
      <c r="Y1725" s="576"/>
      <c r="Z1725" s="576"/>
    </row>
    <row r="1726" spans="1:26" ht="18.75">
      <c r="A1726" s="680"/>
      <c r="B1726" s="680"/>
      <c r="C1726" s="680"/>
      <c r="D1726" s="910"/>
      <c r="E1726" s="680"/>
      <c r="F1726" s="680"/>
      <c r="G1726" s="680"/>
      <c r="H1726" s="911"/>
      <c r="I1726" s="912"/>
      <c r="J1726" s="912"/>
      <c r="K1726" s="913"/>
      <c r="L1726" s="913"/>
      <c r="M1726" s="913"/>
      <c r="N1726" s="913"/>
      <c r="O1726" s="913"/>
      <c r="P1726" s="913"/>
      <c r="Q1726" s="576"/>
      <c r="R1726" s="576"/>
      <c r="S1726" s="576"/>
      <c r="T1726" s="576"/>
      <c r="U1726" s="576"/>
      <c r="V1726" s="576"/>
      <c r="W1726" s="576"/>
      <c r="X1726" s="576"/>
      <c r="Y1726" s="576"/>
      <c r="Z1726" s="576"/>
    </row>
    <row r="1727" spans="1:26" ht="18.75">
      <c r="A1727" s="680"/>
      <c r="B1727" s="680"/>
      <c r="C1727" s="680"/>
      <c r="D1727" s="910"/>
      <c r="E1727" s="680"/>
      <c r="F1727" s="680"/>
      <c r="G1727" s="680"/>
      <c r="H1727" s="911"/>
      <c r="I1727" s="912"/>
      <c r="J1727" s="912"/>
      <c r="K1727" s="913"/>
      <c r="L1727" s="913"/>
      <c r="M1727" s="913"/>
      <c r="N1727" s="913"/>
      <c r="O1727" s="913"/>
      <c r="P1727" s="913"/>
      <c r="Q1727" s="576"/>
      <c r="R1727" s="576"/>
      <c r="S1727" s="576"/>
      <c r="T1727" s="576"/>
      <c r="U1727" s="576"/>
      <c r="V1727" s="576"/>
      <c r="W1727" s="576"/>
      <c r="X1727" s="576"/>
      <c r="Y1727" s="576"/>
      <c r="Z1727" s="576"/>
    </row>
    <row r="1728" spans="1:26" ht="18.75">
      <c r="A1728" s="680"/>
      <c r="B1728" s="680"/>
      <c r="C1728" s="680"/>
      <c r="D1728" s="910"/>
      <c r="E1728" s="680"/>
      <c r="F1728" s="680"/>
      <c r="G1728" s="680"/>
      <c r="H1728" s="911"/>
      <c r="I1728" s="912"/>
      <c r="J1728" s="912"/>
      <c r="K1728" s="913"/>
      <c r="L1728" s="913"/>
      <c r="M1728" s="913"/>
      <c r="N1728" s="913"/>
      <c r="O1728" s="913"/>
      <c r="P1728" s="913"/>
      <c r="Q1728" s="576"/>
      <c r="R1728" s="576"/>
      <c r="S1728" s="576"/>
      <c r="T1728" s="576"/>
      <c r="U1728" s="576"/>
      <c r="V1728" s="576"/>
      <c r="W1728" s="576"/>
      <c r="X1728" s="576"/>
      <c r="Y1728" s="576"/>
      <c r="Z1728" s="576"/>
    </row>
    <row r="1729" spans="1:26" ht="18.75">
      <c r="A1729" s="680"/>
      <c r="B1729" s="680"/>
      <c r="C1729" s="680"/>
      <c r="D1729" s="910"/>
      <c r="E1729" s="680"/>
      <c r="F1729" s="680"/>
      <c r="G1729" s="680"/>
      <c r="H1729" s="911"/>
      <c r="I1729" s="912"/>
      <c r="J1729" s="912"/>
      <c r="K1729" s="913"/>
      <c r="L1729" s="913"/>
      <c r="M1729" s="913"/>
      <c r="N1729" s="913"/>
      <c r="O1729" s="913"/>
      <c r="P1729" s="913"/>
      <c r="Q1729" s="576"/>
      <c r="R1729" s="576"/>
      <c r="S1729" s="576"/>
      <c r="T1729" s="576"/>
      <c r="U1729" s="576"/>
      <c r="V1729" s="576"/>
      <c r="W1729" s="576"/>
      <c r="X1729" s="576"/>
      <c r="Y1729" s="576"/>
      <c r="Z1729" s="576"/>
    </row>
    <row r="1730" spans="1:26" ht="18.75">
      <c r="A1730" s="680"/>
      <c r="B1730" s="680"/>
      <c r="C1730" s="680"/>
      <c r="D1730" s="910"/>
      <c r="E1730" s="680"/>
      <c r="F1730" s="680"/>
      <c r="G1730" s="680"/>
      <c r="H1730" s="911"/>
      <c r="I1730" s="912"/>
      <c r="J1730" s="912"/>
      <c r="K1730" s="913"/>
      <c r="L1730" s="913"/>
      <c r="M1730" s="913"/>
      <c r="N1730" s="913"/>
      <c r="O1730" s="913"/>
      <c r="P1730" s="913"/>
      <c r="Q1730" s="576"/>
      <c r="R1730" s="576"/>
      <c r="S1730" s="576"/>
      <c r="T1730" s="576"/>
      <c r="U1730" s="576"/>
      <c r="V1730" s="576"/>
      <c r="W1730" s="576"/>
      <c r="X1730" s="576"/>
      <c r="Y1730" s="576"/>
      <c r="Z1730" s="576"/>
    </row>
    <row r="1731" spans="1:26" ht="18.75">
      <c r="A1731" s="680"/>
      <c r="B1731" s="680"/>
      <c r="C1731" s="680"/>
      <c r="D1731" s="910"/>
      <c r="E1731" s="680"/>
      <c r="F1731" s="680"/>
      <c r="G1731" s="680"/>
      <c r="H1731" s="911"/>
      <c r="I1731" s="912"/>
      <c r="J1731" s="912"/>
      <c r="K1731" s="913"/>
      <c r="L1731" s="913"/>
      <c r="M1731" s="913"/>
      <c r="N1731" s="913"/>
      <c r="O1731" s="913"/>
      <c r="P1731" s="913"/>
      <c r="Q1731" s="576"/>
      <c r="R1731" s="576"/>
      <c r="S1731" s="576"/>
      <c r="T1731" s="576"/>
      <c r="U1731" s="576"/>
      <c r="V1731" s="576"/>
      <c r="W1731" s="576"/>
      <c r="X1731" s="576"/>
      <c r="Y1731" s="576"/>
      <c r="Z1731" s="576"/>
    </row>
    <row r="1732" spans="1:26" ht="18.75">
      <c r="A1732" s="680"/>
      <c r="B1732" s="680"/>
      <c r="C1732" s="680"/>
      <c r="D1732" s="910"/>
      <c r="E1732" s="680"/>
      <c r="F1732" s="680"/>
      <c r="G1732" s="680"/>
      <c r="H1732" s="911"/>
      <c r="I1732" s="912"/>
      <c r="J1732" s="912"/>
      <c r="K1732" s="913"/>
      <c r="L1732" s="913"/>
      <c r="M1732" s="913"/>
      <c r="N1732" s="913"/>
      <c r="O1732" s="913"/>
      <c r="P1732" s="913"/>
      <c r="Q1732" s="576"/>
      <c r="R1732" s="576"/>
      <c r="S1732" s="576"/>
      <c r="T1732" s="576"/>
      <c r="U1732" s="576"/>
      <c r="V1732" s="576"/>
      <c r="W1732" s="576"/>
      <c r="X1732" s="576"/>
      <c r="Y1732" s="576"/>
      <c r="Z1732" s="576"/>
    </row>
    <row r="1733" spans="1:26" ht="18.75">
      <c r="A1733" s="680"/>
      <c r="B1733" s="680"/>
      <c r="C1733" s="680"/>
      <c r="D1733" s="910"/>
      <c r="E1733" s="680"/>
      <c r="F1733" s="680"/>
      <c r="G1733" s="680"/>
      <c r="H1733" s="911"/>
      <c r="I1733" s="912"/>
      <c r="J1733" s="912"/>
      <c r="K1733" s="913"/>
      <c r="L1733" s="913"/>
      <c r="M1733" s="913"/>
      <c r="N1733" s="913"/>
      <c r="O1733" s="913"/>
      <c r="P1733" s="913"/>
      <c r="Q1733" s="576"/>
      <c r="R1733" s="576"/>
      <c r="S1733" s="576"/>
      <c r="T1733" s="576"/>
      <c r="U1733" s="576"/>
      <c r="V1733" s="576"/>
      <c r="W1733" s="576"/>
      <c r="X1733" s="576"/>
      <c r="Y1733" s="576"/>
      <c r="Z1733" s="576"/>
    </row>
    <row r="1734" spans="1:26" ht="18.75">
      <c r="A1734" s="680"/>
      <c r="B1734" s="680"/>
      <c r="C1734" s="680"/>
      <c r="D1734" s="910"/>
      <c r="E1734" s="680"/>
      <c r="F1734" s="680"/>
      <c r="G1734" s="680"/>
      <c r="H1734" s="911"/>
      <c r="I1734" s="912"/>
      <c r="J1734" s="912"/>
      <c r="K1734" s="913"/>
      <c r="L1734" s="913"/>
      <c r="M1734" s="913"/>
      <c r="N1734" s="913"/>
      <c r="O1734" s="913"/>
      <c r="P1734" s="913"/>
      <c r="Q1734" s="576"/>
      <c r="R1734" s="576"/>
      <c r="S1734" s="576"/>
      <c r="T1734" s="576"/>
      <c r="U1734" s="576"/>
      <c r="V1734" s="576"/>
      <c r="W1734" s="576"/>
      <c r="X1734" s="576"/>
      <c r="Y1734" s="576"/>
      <c r="Z1734" s="576"/>
    </row>
    <row r="1735" spans="1:26" ht="18.75">
      <c r="A1735" s="680"/>
      <c r="B1735" s="680"/>
      <c r="C1735" s="680"/>
      <c r="D1735" s="910"/>
      <c r="E1735" s="680"/>
      <c r="F1735" s="680"/>
      <c r="G1735" s="680"/>
      <c r="H1735" s="911"/>
      <c r="I1735" s="912"/>
      <c r="J1735" s="912"/>
      <c r="K1735" s="913"/>
      <c r="L1735" s="913"/>
      <c r="M1735" s="913"/>
      <c r="N1735" s="913"/>
      <c r="O1735" s="913"/>
      <c r="P1735" s="913"/>
      <c r="Q1735" s="576"/>
      <c r="R1735" s="576"/>
      <c r="S1735" s="576"/>
      <c r="T1735" s="576"/>
      <c r="U1735" s="576"/>
      <c r="V1735" s="576"/>
      <c r="W1735" s="576"/>
      <c r="X1735" s="576"/>
      <c r="Y1735" s="576"/>
      <c r="Z1735" s="576"/>
    </row>
    <row r="1736" spans="1:26" ht="18.75">
      <c r="A1736" s="680"/>
      <c r="B1736" s="680"/>
      <c r="C1736" s="680"/>
      <c r="D1736" s="910"/>
      <c r="E1736" s="680"/>
      <c r="F1736" s="680"/>
      <c r="G1736" s="680"/>
      <c r="H1736" s="911"/>
      <c r="I1736" s="912"/>
      <c r="J1736" s="912"/>
      <c r="K1736" s="913"/>
      <c r="L1736" s="913"/>
      <c r="M1736" s="913"/>
      <c r="N1736" s="913"/>
      <c r="O1736" s="913"/>
      <c r="P1736" s="913"/>
      <c r="Q1736" s="576"/>
      <c r="R1736" s="576"/>
      <c r="S1736" s="576"/>
      <c r="T1736" s="576"/>
      <c r="U1736" s="576"/>
      <c r="V1736" s="576"/>
      <c r="W1736" s="576"/>
      <c r="X1736" s="576"/>
      <c r="Y1736" s="576"/>
      <c r="Z1736" s="576"/>
    </row>
    <row r="1737" spans="1:26" ht="18.75">
      <c r="A1737" s="680"/>
      <c r="B1737" s="680"/>
      <c r="C1737" s="680"/>
      <c r="D1737" s="910"/>
      <c r="E1737" s="680"/>
      <c r="F1737" s="680"/>
      <c r="G1737" s="680"/>
      <c r="H1737" s="911"/>
      <c r="I1737" s="912"/>
      <c r="J1737" s="912"/>
      <c r="K1737" s="913"/>
      <c r="L1737" s="913"/>
      <c r="M1737" s="913"/>
      <c r="N1737" s="913"/>
      <c r="O1737" s="913"/>
      <c r="P1737" s="913"/>
      <c r="Q1737" s="576"/>
      <c r="R1737" s="576"/>
      <c r="S1737" s="576"/>
      <c r="T1737" s="576"/>
      <c r="U1737" s="576"/>
      <c r="V1737" s="576"/>
      <c r="W1737" s="576"/>
      <c r="X1737" s="576"/>
      <c r="Y1737" s="576"/>
      <c r="Z1737" s="576"/>
    </row>
    <row r="1738" spans="1:26" ht="18.75">
      <c r="A1738" s="680"/>
      <c r="B1738" s="680"/>
      <c r="C1738" s="680"/>
      <c r="D1738" s="910"/>
      <c r="E1738" s="680"/>
      <c r="F1738" s="680"/>
      <c r="G1738" s="680"/>
      <c r="H1738" s="911"/>
      <c r="I1738" s="912"/>
      <c r="J1738" s="912"/>
      <c r="K1738" s="913"/>
      <c r="L1738" s="913"/>
      <c r="M1738" s="913"/>
      <c r="N1738" s="913"/>
      <c r="O1738" s="913"/>
      <c r="P1738" s="913"/>
      <c r="Q1738" s="576"/>
      <c r="R1738" s="576"/>
      <c r="S1738" s="576"/>
      <c r="T1738" s="576"/>
      <c r="U1738" s="576"/>
      <c r="V1738" s="576"/>
      <c r="W1738" s="576"/>
      <c r="X1738" s="576"/>
      <c r="Y1738" s="576"/>
      <c r="Z1738" s="576"/>
    </row>
    <row r="1739" spans="1:26" ht="18.75">
      <c r="A1739" s="680"/>
      <c r="B1739" s="680"/>
      <c r="C1739" s="680"/>
      <c r="D1739" s="910"/>
      <c r="E1739" s="680"/>
      <c r="F1739" s="680"/>
      <c r="G1739" s="680"/>
      <c r="H1739" s="911"/>
      <c r="I1739" s="912"/>
      <c r="J1739" s="912"/>
      <c r="K1739" s="913"/>
      <c r="L1739" s="913"/>
      <c r="M1739" s="913"/>
      <c r="N1739" s="913"/>
      <c r="O1739" s="913"/>
      <c r="P1739" s="913"/>
      <c r="Q1739" s="576"/>
      <c r="R1739" s="576"/>
      <c r="S1739" s="576"/>
      <c r="T1739" s="576"/>
      <c r="U1739" s="576"/>
      <c r="V1739" s="576"/>
      <c r="W1739" s="576"/>
      <c r="X1739" s="576"/>
      <c r="Y1739" s="576"/>
      <c r="Z1739" s="576"/>
    </row>
    <row r="1740" spans="1:26" ht="18.75">
      <c r="A1740" s="680"/>
      <c r="B1740" s="680"/>
      <c r="C1740" s="680"/>
      <c r="D1740" s="910"/>
      <c r="E1740" s="680"/>
      <c r="F1740" s="680"/>
      <c r="G1740" s="680"/>
      <c r="H1740" s="911"/>
      <c r="I1740" s="912"/>
      <c r="J1740" s="912"/>
      <c r="K1740" s="913"/>
      <c r="L1740" s="913"/>
      <c r="M1740" s="913"/>
      <c r="N1740" s="913"/>
      <c r="O1740" s="913"/>
      <c r="P1740" s="913"/>
      <c r="Q1740" s="576"/>
      <c r="R1740" s="576"/>
      <c r="S1740" s="576"/>
      <c r="T1740" s="576"/>
      <c r="U1740" s="576"/>
      <c r="V1740" s="576"/>
      <c r="W1740" s="576"/>
      <c r="X1740" s="576"/>
      <c r="Y1740" s="576"/>
      <c r="Z1740" s="576"/>
    </row>
    <row r="1741" spans="1:26" ht="18.75">
      <c r="A1741" s="680"/>
      <c r="B1741" s="680"/>
      <c r="C1741" s="680"/>
      <c r="D1741" s="910"/>
      <c r="E1741" s="680"/>
      <c r="F1741" s="680"/>
      <c r="G1741" s="680"/>
      <c r="H1741" s="911"/>
      <c r="I1741" s="912"/>
      <c r="J1741" s="912"/>
      <c r="K1741" s="913"/>
      <c r="L1741" s="913"/>
      <c r="M1741" s="913"/>
      <c r="N1741" s="913"/>
      <c r="O1741" s="913"/>
      <c r="P1741" s="913"/>
      <c r="Q1741" s="576"/>
      <c r="R1741" s="576"/>
      <c r="S1741" s="576"/>
      <c r="T1741" s="576"/>
      <c r="U1741" s="576"/>
      <c r="V1741" s="576"/>
      <c r="W1741" s="576"/>
      <c r="X1741" s="576"/>
      <c r="Y1741" s="576"/>
      <c r="Z1741" s="576"/>
    </row>
    <row r="1742" spans="1:26" ht="18.75">
      <c r="A1742" s="680"/>
      <c r="B1742" s="680"/>
      <c r="C1742" s="680"/>
      <c r="D1742" s="910"/>
      <c r="E1742" s="680"/>
      <c r="F1742" s="680"/>
      <c r="G1742" s="680"/>
      <c r="H1742" s="911"/>
      <c r="I1742" s="912"/>
      <c r="J1742" s="912"/>
      <c r="K1742" s="913"/>
      <c r="L1742" s="913"/>
      <c r="M1742" s="913"/>
      <c r="N1742" s="913"/>
      <c r="O1742" s="913"/>
      <c r="P1742" s="913"/>
      <c r="Q1742" s="576"/>
      <c r="R1742" s="576"/>
      <c r="S1742" s="576"/>
      <c r="T1742" s="576"/>
      <c r="U1742" s="576"/>
      <c r="V1742" s="576"/>
      <c r="W1742" s="576"/>
      <c r="X1742" s="576"/>
      <c r="Y1742" s="576"/>
      <c r="Z1742" s="576"/>
    </row>
    <row r="1743" spans="1:26" ht="18.75">
      <c r="A1743" s="680"/>
      <c r="B1743" s="680"/>
      <c r="C1743" s="680"/>
      <c r="D1743" s="910"/>
      <c r="E1743" s="680"/>
      <c r="F1743" s="680"/>
      <c r="G1743" s="680"/>
      <c r="H1743" s="911"/>
      <c r="I1743" s="912"/>
      <c r="J1743" s="912"/>
      <c r="K1743" s="913"/>
      <c r="L1743" s="913"/>
      <c r="M1743" s="913"/>
      <c r="N1743" s="913"/>
      <c r="O1743" s="913"/>
      <c r="P1743" s="913"/>
      <c r="Q1743" s="576"/>
      <c r="R1743" s="576"/>
      <c r="S1743" s="576"/>
      <c r="T1743" s="576"/>
      <c r="U1743" s="576"/>
      <c r="V1743" s="576"/>
      <c r="W1743" s="576"/>
      <c r="X1743" s="576"/>
      <c r="Y1743" s="576"/>
      <c r="Z1743" s="576"/>
    </row>
    <row r="1744" spans="1:26" ht="18.75">
      <c r="A1744" s="680"/>
      <c r="B1744" s="680"/>
      <c r="C1744" s="680"/>
      <c r="D1744" s="910"/>
      <c r="E1744" s="680"/>
      <c r="F1744" s="680"/>
      <c r="G1744" s="680"/>
      <c r="H1744" s="911"/>
      <c r="I1744" s="912"/>
      <c r="J1744" s="912"/>
      <c r="K1744" s="913"/>
      <c r="L1744" s="913"/>
      <c r="M1744" s="913"/>
      <c r="N1744" s="913"/>
      <c r="O1744" s="913"/>
      <c r="P1744" s="913"/>
      <c r="Q1744" s="576"/>
      <c r="R1744" s="576"/>
      <c r="S1744" s="576"/>
      <c r="T1744" s="576"/>
      <c r="U1744" s="576"/>
      <c r="V1744" s="576"/>
      <c r="W1744" s="576"/>
      <c r="X1744" s="576"/>
      <c r="Y1744" s="576"/>
      <c r="Z1744" s="576"/>
    </row>
    <row r="1745" spans="1:26" ht="18.75">
      <c r="A1745" s="680"/>
      <c r="B1745" s="680"/>
      <c r="C1745" s="680"/>
      <c r="D1745" s="910"/>
      <c r="E1745" s="680"/>
      <c r="F1745" s="680"/>
      <c r="G1745" s="680"/>
      <c r="H1745" s="911"/>
      <c r="I1745" s="912"/>
      <c r="J1745" s="912"/>
      <c r="K1745" s="913"/>
      <c r="L1745" s="913"/>
      <c r="M1745" s="913"/>
      <c r="N1745" s="913"/>
      <c r="O1745" s="913"/>
      <c r="P1745" s="913"/>
      <c r="Q1745" s="576"/>
      <c r="R1745" s="576"/>
      <c r="S1745" s="576"/>
      <c r="T1745" s="576"/>
      <c r="U1745" s="576"/>
      <c r="V1745" s="576"/>
      <c r="W1745" s="576"/>
      <c r="X1745" s="576"/>
      <c r="Y1745" s="576"/>
      <c r="Z1745" s="576"/>
    </row>
    <row r="1746" spans="1:26" ht="18.75">
      <c r="A1746" s="680"/>
      <c r="B1746" s="680"/>
      <c r="C1746" s="680"/>
      <c r="D1746" s="910"/>
      <c r="E1746" s="680"/>
      <c r="F1746" s="680"/>
      <c r="G1746" s="680"/>
      <c r="H1746" s="911"/>
      <c r="I1746" s="912"/>
      <c r="J1746" s="912"/>
      <c r="K1746" s="913"/>
      <c r="L1746" s="913"/>
      <c r="M1746" s="913"/>
      <c r="N1746" s="913"/>
      <c r="O1746" s="913"/>
      <c r="P1746" s="913"/>
      <c r="Q1746" s="576"/>
      <c r="R1746" s="576"/>
      <c r="S1746" s="576"/>
      <c r="T1746" s="576"/>
      <c r="U1746" s="576"/>
      <c r="V1746" s="576"/>
      <c r="W1746" s="576"/>
      <c r="X1746" s="576"/>
      <c r="Y1746" s="576"/>
      <c r="Z1746" s="576"/>
    </row>
    <row r="1747" spans="1:26" ht="18.75">
      <c r="A1747" s="680"/>
      <c r="B1747" s="680"/>
      <c r="C1747" s="680"/>
      <c r="D1747" s="910"/>
      <c r="E1747" s="680"/>
      <c r="F1747" s="680"/>
      <c r="G1747" s="680"/>
      <c r="H1747" s="911"/>
      <c r="I1747" s="912"/>
      <c r="J1747" s="912"/>
      <c r="K1747" s="913"/>
      <c r="L1747" s="913"/>
      <c r="M1747" s="913"/>
      <c r="N1747" s="913"/>
      <c r="O1747" s="913"/>
      <c r="P1747" s="913"/>
      <c r="Q1747" s="576"/>
      <c r="R1747" s="576"/>
      <c r="S1747" s="576"/>
      <c r="T1747" s="576"/>
      <c r="U1747" s="576"/>
      <c r="V1747" s="576"/>
      <c r="W1747" s="576"/>
      <c r="X1747" s="576"/>
      <c r="Y1747" s="576"/>
      <c r="Z1747" s="576"/>
    </row>
    <row r="1748" spans="1:26" ht="18.75">
      <c r="A1748" s="680"/>
      <c r="B1748" s="680"/>
      <c r="C1748" s="680"/>
      <c r="D1748" s="910"/>
      <c r="E1748" s="680"/>
      <c r="F1748" s="680"/>
      <c r="G1748" s="680"/>
      <c r="H1748" s="911"/>
      <c r="I1748" s="912"/>
      <c r="J1748" s="912"/>
      <c r="K1748" s="913"/>
      <c r="L1748" s="913"/>
      <c r="M1748" s="913"/>
      <c r="N1748" s="913"/>
      <c r="O1748" s="913"/>
      <c r="P1748" s="913"/>
      <c r="Q1748" s="576"/>
      <c r="R1748" s="576"/>
      <c r="S1748" s="576"/>
      <c r="T1748" s="576"/>
      <c r="U1748" s="576"/>
      <c r="V1748" s="576"/>
      <c r="W1748" s="576"/>
      <c r="X1748" s="576"/>
      <c r="Y1748" s="576"/>
      <c r="Z1748" s="576"/>
    </row>
    <row r="1749" spans="1:26" ht="18.75">
      <c r="A1749" s="680"/>
      <c r="B1749" s="680"/>
      <c r="C1749" s="680"/>
      <c r="D1749" s="910"/>
      <c r="E1749" s="680"/>
      <c r="F1749" s="680"/>
      <c r="G1749" s="680"/>
      <c r="H1749" s="911"/>
      <c r="I1749" s="912"/>
      <c r="J1749" s="912"/>
      <c r="K1749" s="913"/>
      <c r="L1749" s="913"/>
      <c r="M1749" s="913"/>
      <c r="N1749" s="913"/>
      <c r="O1749" s="913"/>
      <c r="P1749" s="913"/>
      <c r="Q1749" s="576"/>
      <c r="R1749" s="576"/>
      <c r="S1749" s="576"/>
      <c r="T1749" s="576"/>
      <c r="U1749" s="576"/>
      <c r="V1749" s="576"/>
      <c r="W1749" s="576"/>
      <c r="X1749" s="576"/>
      <c r="Y1749" s="576"/>
      <c r="Z1749" s="576"/>
    </row>
    <row r="1750" spans="1:26" ht="18.75">
      <c r="A1750" s="680"/>
      <c r="B1750" s="680"/>
      <c r="C1750" s="680"/>
      <c r="D1750" s="910"/>
      <c r="E1750" s="680"/>
      <c r="F1750" s="680"/>
      <c r="G1750" s="680"/>
      <c r="H1750" s="911"/>
      <c r="I1750" s="912"/>
      <c r="J1750" s="912"/>
      <c r="K1750" s="913"/>
      <c r="L1750" s="913"/>
      <c r="M1750" s="913"/>
      <c r="N1750" s="913"/>
      <c r="O1750" s="913"/>
      <c r="P1750" s="913"/>
      <c r="Q1750" s="576"/>
      <c r="R1750" s="576"/>
      <c r="S1750" s="576"/>
      <c r="T1750" s="576"/>
      <c r="U1750" s="576"/>
      <c r="V1750" s="576"/>
      <c r="W1750" s="576"/>
      <c r="X1750" s="576"/>
      <c r="Y1750" s="576"/>
      <c r="Z1750" s="576"/>
    </row>
    <row r="1751" spans="1:26" ht="18.75">
      <c r="A1751" s="680"/>
      <c r="B1751" s="680"/>
      <c r="C1751" s="680"/>
      <c r="D1751" s="910"/>
      <c r="E1751" s="680"/>
      <c r="F1751" s="680"/>
      <c r="G1751" s="680"/>
      <c r="H1751" s="911"/>
      <c r="I1751" s="912"/>
      <c r="J1751" s="912"/>
      <c r="K1751" s="913"/>
      <c r="L1751" s="913"/>
      <c r="M1751" s="913"/>
      <c r="N1751" s="913"/>
      <c r="O1751" s="913"/>
      <c r="P1751" s="913"/>
      <c r="Q1751" s="576"/>
      <c r="R1751" s="576"/>
      <c r="S1751" s="576"/>
      <c r="T1751" s="576"/>
      <c r="U1751" s="576"/>
      <c r="V1751" s="576"/>
      <c r="W1751" s="576"/>
      <c r="X1751" s="576"/>
      <c r="Y1751" s="576"/>
      <c r="Z1751" s="576"/>
    </row>
    <row r="1752" spans="1:26" ht="18.75">
      <c r="A1752" s="680"/>
      <c r="B1752" s="680"/>
      <c r="C1752" s="680"/>
      <c r="D1752" s="910"/>
      <c r="E1752" s="680"/>
      <c r="F1752" s="680"/>
      <c r="G1752" s="680"/>
      <c r="H1752" s="911"/>
      <c r="I1752" s="912"/>
      <c r="J1752" s="912"/>
      <c r="K1752" s="913"/>
      <c r="L1752" s="913"/>
      <c r="M1752" s="913"/>
      <c r="N1752" s="913"/>
      <c r="O1752" s="913"/>
      <c r="P1752" s="913"/>
      <c r="Q1752" s="576"/>
      <c r="R1752" s="576"/>
      <c r="S1752" s="576"/>
      <c r="T1752" s="576"/>
      <c r="U1752" s="576"/>
      <c r="V1752" s="576"/>
      <c r="W1752" s="576"/>
      <c r="X1752" s="576"/>
      <c r="Y1752" s="576"/>
      <c r="Z1752" s="576"/>
    </row>
    <row r="1753" spans="1:26" ht="18.75">
      <c r="A1753" s="680"/>
      <c r="B1753" s="680"/>
      <c r="C1753" s="680"/>
      <c r="D1753" s="910"/>
      <c r="E1753" s="680"/>
      <c r="F1753" s="680"/>
      <c r="G1753" s="680"/>
      <c r="H1753" s="911"/>
      <c r="I1753" s="912"/>
      <c r="J1753" s="912"/>
      <c r="K1753" s="913"/>
      <c r="L1753" s="913"/>
      <c r="M1753" s="913"/>
      <c r="N1753" s="913"/>
      <c r="O1753" s="913"/>
      <c r="P1753" s="913"/>
      <c r="Q1753" s="576"/>
      <c r="R1753" s="576"/>
      <c r="S1753" s="576"/>
      <c r="T1753" s="576"/>
      <c r="U1753" s="576"/>
      <c r="V1753" s="576"/>
      <c r="W1753" s="576"/>
      <c r="X1753" s="576"/>
      <c r="Y1753" s="576"/>
      <c r="Z1753" s="576"/>
    </row>
    <row r="1754" spans="1:26" ht="18.75">
      <c r="A1754" s="680"/>
      <c r="B1754" s="680"/>
      <c r="C1754" s="680"/>
      <c r="D1754" s="910"/>
      <c r="E1754" s="680"/>
      <c r="F1754" s="680"/>
      <c r="G1754" s="680"/>
      <c r="H1754" s="911"/>
      <c r="I1754" s="912"/>
      <c r="J1754" s="912"/>
      <c r="K1754" s="913"/>
      <c r="L1754" s="913"/>
      <c r="M1754" s="913"/>
      <c r="N1754" s="913"/>
      <c r="O1754" s="913"/>
      <c r="P1754" s="913"/>
      <c r="Q1754" s="576"/>
      <c r="R1754" s="576"/>
      <c r="S1754" s="576"/>
      <c r="T1754" s="576"/>
      <c r="U1754" s="576"/>
      <c r="V1754" s="576"/>
      <c r="W1754" s="576"/>
      <c r="X1754" s="576"/>
      <c r="Y1754" s="576"/>
      <c r="Z1754" s="576"/>
    </row>
    <row r="1755" spans="1:26" ht="18.75">
      <c r="A1755" s="680"/>
      <c r="B1755" s="680"/>
      <c r="C1755" s="680"/>
      <c r="D1755" s="910"/>
      <c r="E1755" s="680"/>
      <c r="F1755" s="680"/>
      <c r="G1755" s="680"/>
      <c r="H1755" s="911"/>
      <c r="I1755" s="912"/>
      <c r="J1755" s="912"/>
      <c r="K1755" s="913"/>
      <c r="L1755" s="913"/>
      <c r="M1755" s="913"/>
      <c r="N1755" s="913"/>
      <c r="O1755" s="913"/>
      <c r="P1755" s="913"/>
      <c r="Q1755" s="576"/>
      <c r="R1755" s="576"/>
      <c r="S1755" s="576"/>
      <c r="T1755" s="576"/>
      <c r="U1755" s="576"/>
      <c r="V1755" s="576"/>
      <c r="W1755" s="576"/>
      <c r="X1755" s="576"/>
      <c r="Y1755" s="576"/>
      <c r="Z1755" s="576"/>
    </row>
    <row r="1756" spans="1:26" ht="18.75">
      <c r="A1756" s="680"/>
      <c r="B1756" s="680"/>
      <c r="C1756" s="680"/>
      <c r="D1756" s="910"/>
      <c r="E1756" s="680"/>
      <c r="F1756" s="680"/>
      <c r="G1756" s="680"/>
      <c r="H1756" s="911"/>
      <c r="I1756" s="912"/>
      <c r="J1756" s="912"/>
      <c r="K1756" s="913"/>
      <c r="L1756" s="913"/>
      <c r="M1756" s="913"/>
      <c r="N1756" s="913"/>
      <c r="O1756" s="913"/>
      <c r="P1756" s="913"/>
      <c r="Q1756" s="576"/>
      <c r="R1756" s="576"/>
      <c r="S1756" s="576"/>
      <c r="T1756" s="576"/>
      <c r="U1756" s="576"/>
      <c r="V1756" s="576"/>
      <c r="W1756" s="576"/>
      <c r="X1756" s="576"/>
      <c r="Y1756" s="576"/>
      <c r="Z1756" s="576"/>
    </row>
    <row r="1757" spans="1:26" ht="18.75">
      <c r="A1757" s="680"/>
      <c r="B1757" s="680"/>
      <c r="C1757" s="680"/>
      <c r="D1757" s="910"/>
      <c r="E1757" s="680"/>
      <c r="F1757" s="680"/>
      <c r="G1757" s="680"/>
      <c r="H1757" s="911"/>
      <c r="I1757" s="912"/>
      <c r="J1757" s="912"/>
      <c r="K1757" s="913"/>
      <c r="L1757" s="913"/>
      <c r="M1757" s="913"/>
      <c r="N1757" s="913"/>
      <c r="O1757" s="913"/>
      <c r="P1757" s="913"/>
      <c r="Q1757" s="576"/>
      <c r="R1757" s="576"/>
      <c r="S1757" s="576"/>
      <c r="T1757" s="576"/>
      <c r="U1757" s="576"/>
      <c r="V1757" s="576"/>
      <c r="W1757" s="576"/>
      <c r="X1757" s="576"/>
      <c r="Y1757" s="576"/>
      <c r="Z1757" s="576"/>
    </row>
    <row r="1758" spans="1:26" ht="18.75">
      <c r="A1758" s="680"/>
      <c r="B1758" s="680"/>
      <c r="C1758" s="680"/>
      <c r="D1758" s="910"/>
      <c r="E1758" s="680"/>
      <c r="F1758" s="680"/>
      <c r="G1758" s="680"/>
      <c r="H1758" s="911"/>
      <c r="I1758" s="912"/>
      <c r="J1758" s="912"/>
      <c r="K1758" s="913"/>
      <c r="L1758" s="913"/>
      <c r="M1758" s="913"/>
      <c r="N1758" s="913"/>
      <c r="O1758" s="913"/>
      <c r="P1758" s="913"/>
      <c r="Q1758" s="576"/>
      <c r="R1758" s="576"/>
      <c r="S1758" s="576"/>
      <c r="T1758" s="576"/>
      <c r="U1758" s="576"/>
      <c r="V1758" s="576"/>
      <c r="W1758" s="576"/>
      <c r="X1758" s="576"/>
      <c r="Y1758" s="576"/>
      <c r="Z1758" s="576"/>
    </row>
    <row r="1759" spans="1:26" ht="18.75">
      <c r="A1759" s="680"/>
      <c r="B1759" s="680"/>
      <c r="C1759" s="680"/>
      <c r="D1759" s="910"/>
      <c r="E1759" s="680"/>
      <c r="F1759" s="680"/>
      <c r="G1759" s="680"/>
      <c r="H1759" s="911"/>
      <c r="I1759" s="912"/>
      <c r="J1759" s="912"/>
      <c r="K1759" s="913"/>
      <c r="L1759" s="913"/>
      <c r="M1759" s="913"/>
      <c r="N1759" s="913"/>
      <c r="O1759" s="913"/>
      <c r="P1759" s="913"/>
      <c r="Q1759" s="576"/>
      <c r="R1759" s="576"/>
      <c r="S1759" s="576"/>
      <c r="T1759" s="576"/>
      <c r="U1759" s="576"/>
      <c r="V1759" s="576"/>
      <c r="W1759" s="576"/>
      <c r="X1759" s="576"/>
      <c r="Y1759" s="576"/>
      <c r="Z1759" s="576"/>
    </row>
    <row r="1760" spans="1:26" ht="18.75">
      <c r="A1760" s="680"/>
      <c r="B1760" s="680"/>
      <c r="C1760" s="680"/>
      <c r="D1760" s="910"/>
      <c r="E1760" s="680"/>
      <c r="F1760" s="680"/>
      <c r="G1760" s="680"/>
      <c r="H1760" s="911"/>
      <c r="I1760" s="912"/>
      <c r="J1760" s="912"/>
      <c r="K1760" s="913"/>
      <c r="L1760" s="913"/>
      <c r="M1760" s="913"/>
      <c r="N1760" s="913"/>
      <c r="O1760" s="913"/>
      <c r="P1760" s="913"/>
      <c r="Q1760" s="576"/>
      <c r="R1760" s="576"/>
      <c r="S1760" s="576"/>
      <c r="T1760" s="576"/>
      <c r="U1760" s="576"/>
      <c r="V1760" s="576"/>
      <c r="W1760" s="576"/>
      <c r="X1760" s="576"/>
      <c r="Y1760" s="576"/>
      <c r="Z1760" s="576"/>
    </row>
    <row r="1761" spans="1:26" ht="18.75">
      <c r="A1761" s="680"/>
      <c r="B1761" s="680"/>
      <c r="C1761" s="680"/>
      <c r="D1761" s="910"/>
      <c r="E1761" s="680"/>
      <c r="F1761" s="680"/>
      <c r="G1761" s="680"/>
      <c r="H1761" s="911"/>
      <c r="I1761" s="912"/>
      <c r="J1761" s="912"/>
      <c r="K1761" s="913"/>
      <c r="L1761" s="913"/>
      <c r="M1761" s="913"/>
      <c r="N1761" s="913"/>
      <c r="O1761" s="913"/>
      <c r="P1761" s="913"/>
      <c r="Q1761" s="576"/>
      <c r="R1761" s="576"/>
      <c r="S1761" s="576"/>
      <c r="T1761" s="576"/>
      <c r="U1761" s="576"/>
      <c r="V1761" s="576"/>
      <c r="W1761" s="576"/>
      <c r="X1761" s="576"/>
      <c r="Y1761" s="576"/>
      <c r="Z1761" s="576"/>
    </row>
    <row r="1762" spans="1:26" ht="18.75">
      <c r="A1762" s="680"/>
      <c r="B1762" s="680"/>
      <c r="C1762" s="680"/>
      <c r="D1762" s="910"/>
      <c r="E1762" s="680"/>
      <c r="F1762" s="680"/>
      <c r="G1762" s="680"/>
      <c r="H1762" s="911"/>
      <c r="I1762" s="912"/>
      <c r="J1762" s="912"/>
      <c r="K1762" s="913"/>
      <c r="L1762" s="913"/>
      <c r="M1762" s="913"/>
      <c r="N1762" s="913"/>
      <c r="O1762" s="913"/>
      <c r="P1762" s="913"/>
      <c r="Q1762" s="576"/>
      <c r="R1762" s="576"/>
      <c r="S1762" s="576"/>
      <c r="T1762" s="576"/>
      <c r="U1762" s="576"/>
      <c r="V1762" s="576"/>
      <c r="W1762" s="576"/>
      <c r="X1762" s="576"/>
      <c r="Y1762" s="576"/>
      <c r="Z1762" s="576"/>
    </row>
    <row r="1763" spans="1:26" ht="18.75">
      <c r="A1763" s="680"/>
      <c r="B1763" s="680"/>
      <c r="C1763" s="680"/>
      <c r="D1763" s="910"/>
      <c r="E1763" s="680"/>
      <c r="F1763" s="680"/>
      <c r="G1763" s="680"/>
      <c r="H1763" s="911"/>
      <c r="I1763" s="912"/>
      <c r="J1763" s="912"/>
      <c r="K1763" s="913"/>
      <c r="L1763" s="913"/>
      <c r="M1763" s="913"/>
      <c r="N1763" s="913"/>
      <c r="O1763" s="913"/>
      <c r="P1763" s="913"/>
      <c r="Q1763" s="576"/>
      <c r="R1763" s="576"/>
      <c r="S1763" s="576"/>
      <c r="T1763" s="576"/>
      <c r="U1763" s="576"/>
      <c r="V1763" s="576"/>
      <c r="W1763" s="576"/>
      <c r="X1763" s="576"/>
      <c r="Y1763" s="576"/>
      <c r="Z1763" s="576"/>
    </row>
    <row r="1764" spans="1:26" ht="18.75">
      <c r="A1764" s="680"/>
      <c r="B1764" s="680"/>
      <c r="C1764" s="680"/>
      <c r="D1764" s="910"/>
      <c r="E1764" s="680"/>
      <c r="F1764" s="680"/>
      <c r="G1764" s="680"/>
      <c r="H1764" s="911"/>
      <c r="I1764" s="912"/>
      <c r="J1764" s="912"/>
      <c r="K1764" s="913"/>
      <c r="L1764" s="913"/>
      <c r="M1764" s="913"/>
      <c r="N1764" s="913"/>
      <c r="O1764" s="913"/>
      <c r="P1764" s="913"/>
      <c r="Q1764" s="576"/>
      <c r="R1764" s="576"/>
      <c r="S1764" s="576"/>
      <c r="T1764" s="576"/>
      <c r="U1764" s="576"/>
      <c r="V1764" s="576"/>
      <c r="W1764" s="576"/>
      <c r="X1764" s="576"/>
      <c r="Y1764" s="576"/>
      <c r="Z1764" s="576"/>
    </row>
    <row r="1765" spans="1:26" ht="18.75">
      <c r="A1765" s="680"/>
      <c r="B1765" s="680"/>
      <c r="C1765" s="680"/>
      <c r="D1765" s="910"/>
      <c r="E1765" s="680"/>
      <c r="F1765" s="680"/>
      <c r="G1765" s="680"/>
      <c r="H1765" s="911"/>
      <c r="I1765" s="912"/>
      <c r="J1765" s="912"/>
      <c r="K1765" s="913"/>
      <c r="L1765" s="913"/>
      <c r="M1765" s="913"/>
      <c r="N1765" s="913"/>
      <c r="O1765" s="913"/>
      <c r="P1765" s="913"/>
      <c r="Q1765" s="576"/>
      <c r="R1765" s="576"/>
      <c r="S1765" s="576"/>
      <c r="T1765" s="576"/>
      <c r="U1765" s="576"/>
      <c r="V1765" s="576"/>
      <c r="W1765" s="576"/>
      <c r="X1765" s="576"/>
      <c r="Y1765" s="576"/>
      <c r="Z1765" s="576"/>
    </row>
    <row r="1766" spans="1:26" ht="18.75">
      <c r="A1766" s="680"/>
      <c r="B1766" s="680"/>
      <c r="C1766" s="680"/>
      <c r="D1766" s="910"/>
      <c r="E1766" s="680"/>
      <c r="F1766" s="680"/>
      <c r="G1766" s="680"/>
      <c r="H1766" s="911"/>
      <c r="I1766" s="912"/>
      <c r="J1766" s="912"/>
      <c r="K1766" s="913"/>
      <c r="L1766" s="913"/>
      <c r="M1766" s="913"/>
      <c r="N1766" s="913"/>
      <c r="O1766" s="913"/>
      <c r="P1766" s="913"/>
      <c r="Q1766" s="576"/>
      <c r="R1766" s="576"/>
      <c r="S1766" s="576"/>
      <c r="T1766" s="576"/>
      <c r="U1766" s="576"/>
      <c r="V1766" s="576"/>
      <c r="W1766" s="576"/>
      <c r="X1766" s="576"/>
      <c r="Y1766" s="576"/>
      <c r="Z1766" s="576"/>
    </row>
    <row r="1767" spans="1:26" ht="18.75">
      <c r="A1767" s="680"/>
      <c r="B1767" s="680"/>
      <c r="C1767" s="680"/>
      <c r="D1767" s="910"/>
      <c r="E1767" s="680"/>
      <c r="F1767" s="680"/>
      <c r="G1767" s="680"/>
      <c r="H1767" s="911"/>
      <c r="I1767" s="912"/>
      <c r="J1767" s="912"/>
      <c r="K1767" s="913"/>
      <c r="L1767" s="913"/>
      <c r="M1767" s="913"/>
      <c r="N1767" s="913"/>
      <c r="O1767" s="913"/>
      <c r="P1767" s="913"/>
      <c r="Q1767" s="576"/>
      <c r="R1767" s="576"/>
      <c r="S1767" s="576"/>
      <c r="T1767" s="576"/>
      <c r="U1767" s="576"/>
      <c r="V1767" s="576"/>
      <c r="W1767" s="576"/>
      <c r="X1767" s="576"/>
      <c r="Y1767" s="576"/>
      <c r="Z1767" s="576"/>
    </row>
    <row r="1768" spans="1:26" ht="18.75">
      <c r="A1768" s="680"/>
      <c r="B1768" s="680"/>
      <c r="C1768" s="680"/>
      <c r="D1768" s="910"/>
      <c r="E1768" s="680"/>
      <c r="F1768" s="680"/>
      <c r="G1768" s="680"/>
      <c r="H1768" s="911"/>
      <c r="I1768" s="912"/>
      <c r="J1768" s="912"/>
      <c r="K1768" s="913"/>
      <c r="L1768" s="913"/>
      <c r="M1768" s="913"/>
      <c r="N1768" s="913"/>
      <c r="O1768" s="913"/>
      <c r="P1768" s="913"/>
      <c r="Q1768" s="576"/>
      <c r="R1768" s="576"/>
      <c r="S1768" s="576"/>
      <c r="T1768" s="576"/>
      <c r="U1768" s="576"/>
      <c r="V1768" s="576"/>
      <c r="W1768" s="576"/>
      <c r="X1768" s="576"/>
      <c r="Y1768" s="576"/>
      <c r="Z1768" s="576"/>
    </row>
    <row r="1769" spans="1:26" ht="18.75">
      <c r="A1769" s="680"/>
      <c r="B1769" s="680"/>
      <c r="C1769" s="680"/>
      <c r="D1769" s="910"/>
      <c r="E1769" s="680"/>
      <c r="F1769" s="680"/>
      <c r="G1769" s="680"/>
      <c r="H1769" s="911"/>
      <c r="I1769" s="912"/>
      <c r="J1769" s="912"/>
      <c r="K1769" s="913"/>
      <c r="L1769" s="913"/>
      <c r="M1769" s="913"/>
      <c r="N1769" s="913"/>
      <c r="O1769" s="913"/>
      <c r="P1769" s="913"/>
      <c r="Q1769" s="576"/>
      <c r="R1769" s="576"/>
      <c r="S1769" s="576"/>
      <c r="T1769" s="576"/>
      <c r="U1769" s="576"/>
      <c r="V1769" s="576"/>
      <c r="W1769" s="576"/>
      <c r="X1769" s="576"/>
      <c r="Y1769" s="576"/>
      <c r="Z1769" s="576"/>
    </row>
    <row r="1770" spans="1:26" ht="18.75">
      <c r="A1770" s="680"/>
      <c r="B1770" s="680"/>
      <c r="C1770" s="680"/>
      <c r="D1770" s="910"/>
      <c r="E1770" s="680"/>
      <c r="F1770" s="680"/>
      <c r="G1770" s="680"/>
      <c r="H1770" s="911"/>
      <c r="I1770" s="912"/>
      <c r="J1770" s="912"/>
      <c r="K1770" s="913"/>
      <c r="L1770" s="913"/>
      <c r="M1770" s="913"/>
      <c r="N1770" s="913"/>
      <c r="O1770" s="913"/>
      <c r="P1770" s="913"/>
      <c r="Q1770" s="576"/>
      <c r="R1770" s="576"/>
      <c r="S1770" s="576"/>
      <c r="T1770" s="576"/>
      <c r="U1770" s="576"/>
      <c r="V1770" s="576"/>
      <c r="W1770" s="576"/>
      <c r="X1770" s="576"/>
      <c r="Y1770" s="576"/>
      <c r="Z1770" s="576"/>
    </row>
    <row r="1771" spans="1:26" ht="18.75">
      <c r="A1771" s="680"/>
      <c r="B1771" s="680"/>
      <c r="C1771" s="680"/>
      <c r="D1771" s="910"/>
      <c r="E1771" s="680"/>
      <c r="F1771" s="680"/>
      <c r="G1771" s="680"/>
      <c r="H1771" s="911"/>
      <c r="I1771" s="912"/>
      <c r="J1771" s="912"/>
      <c r="K1771" s="913"/>
      <c r="L1771" s="913"/>
      <c r="M1771" s="913"/>
      <c r="N1771" s="913"/>
      <c r="O1771" s="913"/>
      <c r="P1771" s="913"/>
      <c r="Q1771" s="576"/>
      <c r="R1771" s="576"/>
      <c r="S1771" s="576"/>
      <c r="T1771" s="576"/>
      <c r="U1771" s="576"/>
      <c r="V1771" s="576"/>
      <c r="W1771" s="576"/>
      <c r="X1771" s="576"/>
      <c r="Y1771" s="576"/>
      <c r="Z1771" s="576"/>
    </row>
    <row r="1772" spans="1:26" ht="18.75">
      <c r="A1772" s="680"/>
      <c r="B1772" s="680"/>
      <c r="C1772" s="680"/>
      <c r="D1772" s="910"/>
      <c r="E1772" s="680"/>
      <c r="F1772" s="680"/>
      <c r="G1772" s="680"/>
      <c r="H1772" s="911"/>
      <c r="I1772" s="912"/>
      <c r="J1772" s="912"/>
      <c r="K1772" s="913"/>
      <c r="L1772" s="913"/>
      <c r="M1772" s="913"/>
      <c r="N1772" s="913"/>
      <c r="O1772" s="913"/>
      <c r="P1772" s="913"/>
      <c r="Q1772" s="576"/>
      <c r="R1772" s="576"/>
      <c r="S1772" s="576"/>
      <c r="T1772" s="576"/>
      <c r="U1772" s="576"/>
      <c r="V1772" s="576"/>
      <c r="W1772" s="576"/>
      <c r="X1772" s="576"/>
      <c r="Y1772" s="576"/>
      <c r="Z1772" s="576"/>
    </row>
    <row r="1773" spans="1:26" ht="18.75">
      <c r="A1773" s="680"/>
      <c r="B1773" s="680"/>
      <c r="C1773" s="680"/>
      <c r="D1773" s="910"/>
      <c r="E1773" s="680"/>
      <c r="F1773" s="680"/>
      <c r="G1773" s="680"/>
      <c r="H1773" s="911"/>
      <c r="I1773" s="912"/>
      <c r="J1773" s="912"/>
      <c r="K1773" s="913"/>
      <c r="L1773" s="913"/>
      <c r="M1773" s="913"/>
      <c r="N1773" s="913"/>
      <c r="O1773" s="913"/>
      <c r="P1773" s="913"/>
      <c r="Q1773" s="576"/>
      <c r="R1773" s="576"/>
      <c r="S1773" s="576"/>
      <c r="T1773" s="576"/>
      <c r="U1773" s="576"/>
      <c r="V1773" s="576"/>
      <c r="W1773" s="576"/>
      <c r="X1773" s="576"/>
      <c r="Y1773" s="576"/>
      <c r="Z1773" s="576"/>
    </row>
    <row r="1774" spans="1:26" ht="18.75">
      <c r="A1774" s="680"/>
      <c r="B1774" s="680"/>
      <c r="C1774" s="680"/>
      <c r="D1774" s="910"/>
      <c r="E1774" s="680"/>
      <c r="F1774" s="680"/>
      <c r="G1774" s="680"/>
      <c r="H1774" s="911"/>
      <c r="I1774" s="912"/>
      <c r="J1774" s="912"/>
      <c r="K1774" s="913"/>
      <c r="L1774" s="913"/>
      <c r="M1774" s="913"/>
      <c r="N1774" s="913"/>
      <c r="O1774" s="913"/>
      <c r="P1774" s="913"/>
      <c r="Q1774" s="576"/>
      <c r="R1774" s="576"/>
      <c r="S1774" s="576"/>
      <c r="T1774" s="576"/>
      <c r="U1774" s="576"/>
      <c r="V1774" s="576"/>
      <c r="W1774" s="576"/>
      <c r="X1774" s="576"/>
      <c r="Y1774" s="576"/>
      <c r="Z1774" s="576"/>
    </row>
    <row r="1775" spans="1:26" ht="18.75">
      <c r="A1775" s="680"/>
      <c r="B1775" s="680"/>
      <c r="C1775" s="680"/>
      <c r="D1775" s="910"/>
      <c r="E1775" s="680"/>
      <c r="F1775" s="680"/>
      <c r="G1775" s="680"/>
      <c r="H1775" s="911"/>
      <c r="I1775" s="912"/>
      <c r="J1775" s="912"/>
      <c r="K1775" s="913"/>
      <c r="L1775" s="913"/>
      <c r="M1775" s="913"/>
      <c r="N1775" s="913"/>
      <c r="O1775" s="913"/>
      <c r="P1775" s="913"/>
      <c r="Q1775" s="576"/>
      <c r="R1775" s="576"/>
      <c r="S1775" s="576"/>
      <c r="T1775" s="576"/>
      <c r="U1775" s="576"/>
      <c r="V1775" s="576"/>
      <c r="W1775" s="576"/>
      <c r="X1775" s="576"/>
      <c r="Y1775" s="576"/>
      <c r="Z1775" s="576"/>
    </row>
    <row r="1776" spans="1:26" ht="18.75">
      <c r="A1776" s="680"/>
      <c r="B1776" s="680"/>
      <c r="C1776" s="680"/>
      <c r="D1776" s="910"/>
      <c r="E1776" s="680"/>
      <c r="F1776" s="680"/>
      <c r="G1776" s="680"/>
      <c r="H1776" s="911"/>
      <c r="I1776" s="912"/>
      <c r="J1776" s="912"/>
      <c r="K1776" s="913"/>
      <c r="L1776" s="913"/>
      <c r="M1776" s="913"/>
      <c r="N1776" s="913"/>
      <c r="O1776" s="913"/>
      <c r="P1776" s="913"/>
      <c r="Q1776" s="576"/>
      <c r="R1776" s="576"/>
      <c r="S1776" s="576"/>
      <c r="T1776" s="576"/>
      <c r="U1776" s="576"/>
      <c r="V1776" s="576"/>
      <c r="W1776" s="576"/>
      <c r="X1776" s="576"/>
      <c r="Y1776" s="576"/>
      <c r="Z1776" s="576"/>
    </row>
    <row r="1777" spans="1:26" ht="18.75">
      <c r="A1777" s="680"/>
      <c r="B1777" s="680"/>
      <c r="C1777" s="680"/>
      <c r="D1777" s="910"/>
      <c r="E1777" s="680"/>
      <c r="F1777" s="680"/>
      <c r="G1777" s="680"/>
      <c r="H1777" s="911"/>
      <c r="I1777" s="912"/>
      <c r="J1777" s="912"/>
      <c r="K1777" s="913"/>
      <c r="L1777" s="913"/>
      <c r="M1777" s="913"/>
      <c r="N1777" s="913"/>
      <c r="O1777" s="913"/>
      <c r="P1777" s="913"/>
      <c r="Q1777" s="576"/>
      <c r="R1777" s="576"/>
      <c r="S1777" s="576"/>
      <c r="T1777" s="576"/>
      <c r="U1777" s="576"/>
      <c r="V1777" s="576"/>
      <c r="W1777" s="576"/>
      <c r="X1777" s="576"/>
      <c r="Y1777" s="576"/>
      <c r="Z1777" s="576"/>
    </row>
    <row r="1778" spans="1:26" ht="18.75">
      <c r="A1778" s="680"/>
      <c r="B1778" s="680"/>
      <c r="C1778" s="680"/>
      <c r="D1778" s="910"/>
      <c r="E1778" s="680"/>
      <c r="F1778" s="680"/>
      <c r="G1778" s="680"/>
      <c r="H1778" s="911"/>
      <c r="I1778" s="912"/>
      <c r="J1778" s="912"/>
      <c r="K1778" s="913"/>
      <c r="L1778" s="913"/>
      <c r="M1778" s="913"/>
      <c r="N1778" s="913"/>
      <c r="O1778" s="913"/>
      <c r="P1778" s="913"/>
      <c r="Q1778" s="576"/>
      <c r="R1778" s="576"/>
      <c r="S1778" s="576"/>
      <c r="T1778" s="576"/>
      <c r="U1778" s="576"/>
      <c r="V1778" s="576"/>
      <c r="W1778" s="576"/>
      <c r="X1778" s="576"/>
      <c r="Y1778" s="576"/>
      <c r="Z1778" s="576"/>
    </row>
    <row r="1779" spans="1:26" ht="18.75">
      <c r="A1779" s="680"/>
      <c r="B1779" s="680"/>
      <c r="C1779" s="680"/>
      <c r="D1779" s="910"/>
      <c r="E1779" s="680"/>
      <c r="F1779" s="680"/>
      <c r="G1779" s="680"/>
      <c r="H1779" s="911"/>
      <c r="I1779" s="912"/>
      <c r="J1779" s="912"/>
      <c r="K1779" s="913"/>
      <c r="L1779" s="913"/>
      <c r="M1779" s="913"/>
      <c r="N1779" s="913"/>
      <c r="O1779" s="913"/>
      <c r="P1779" s="913"/>
      <c r="Q1779" s="576"/>
      <c r="R1779" s="576"/>
      <c r="S1779" s="576"/>
      <c r="T1779" s="576"/>
      <c r="U1779" s="576"/>
      <c r="V1779" s="576"/>
      <c r="W1779" s="576"/>
      <c r="X1779" s="576"/>
      <c r="Y1779" s="576"/>
      <c r="Z1779" s="576"/>
    </row>
    <row r="1780" spans="1:26" ht="18.75">
      <c r="A1780" s="680"/>
      <c r="B1780" s="680"/>
      <c r="C1780" s="680"/>
      <c r="D1780" s="910"/>
      <c r="E1780" s="680"/>
      <c r="F1780" s="680"/>
      <c r="G1780" s="680"/>
      <c r="H1780" s="911"/>
      <c r="I1780" s="912"/>
      <c r="J1780" s="912"/>
      <c r="K1780" s="913"/>
      <c r="L1780" s="913"/>
      <c r="M1780" s="913"/>
      <c r="N1780" s="913"/>
      <c r="O1780" s="913"/>
      <c r="P1780" s="913"/>
      <c r="Q1780" s="576"/>
      <c r="R1780" s="576"/>
      <c r="S1780" s="576"/>
      <c r="T1780" s="576"/>
      <c r="U1780" s="576"/>
      <c r="V1780" s="576"/>
      <c r="W1780" s="576"/>
      <c r="X1780" s="576"/>
      <c r="Y1780" s="576"/>
      <c r="Z1780" s="576"/>
    </row>
    <row r="1781" spans="1:26" ht="18.75">
      <c r="A1781" s="680"/>
      <c r="B1781" s="680"/>
      <c r="C1781" s="680"/>
      <c r="D1781" s="910"/>
      <c r="E1781" s="680"/>
      <c r="F1781" s="680"/>
      <c r="G1781" s="680"/>
      <c r="H1781" s="911"/>
      <c r="I1781" s="912"/>
      <c r="J1781" s="912"/>
      <c r="K1781" s="913"/>
      <c r="L1781" s="913"/>
      <c r="M1781" s="913"/>
      <c r="N1781" s="913"/>
      <c r="O1781" s="913"/>
      <c r="P1781" s="913"/>
      <c r="Q1781" s="576"/>
      <c r="R1781" s="576"/>
      <c r="S1781" s="576"/>
      <c r="T1781" s="576"/>
      <c r="U1781" s="576"/>
      <c r="V1781" s="576"/>
      <c r="W1781" s="576"/>
      <c r="X1781" s="576"/>
      <c r="Y1781" s="576"/>
      <c r="Z1781" s="576"/>
    </row>
    <row r="1782" spans="1:26" ht="18.75">
      <c r="A1782" s="680"/>
      <c r="B1782" s="680"/>
      <c r="C1782" s="680"/>
      <c r="D1782" s="910"/>
      <c r="E1782" s="680"/>
      <c r="F1782" s="680"/>
      <c r="G1782" s="680"/>
      <c r="H1782" s="911"/>
      <c r="I1782" s="912"/>
      <c r="J1782" s="912"/>
      <c r="K1782" s="913"/>
      <c r="L1782" s="913"/>
      <c r="M1782" s="913"/>
      <c r="N1782" s="913"/>
      <c r="O1782" s="913"/>
      <c r="P1782" s="913"/>
      <c r="Q1782" s="576"/>
      <c r="R1782" s="576"/>
      <c r="S1782" s="576"/>
      <c r="T1782" s="576"/>
      <c r="U1782" s="576"/>
      <c r="V1782" s="576"/>
      <c r="W1782" s="576"/>
      <c r="X1782" s="576"/>
      <c r="Y1782" s="576"/>
      <c r="Z1782" s="576"/>
    </row>
    <row r="1783" spans="1:26" ht="18.75">
      <c r="A1783" s="680"/>
      <c r="B1783" s="680"/>
      <c r="C1783" s="680"/>
      <c r="D1783" s="910"/>
      <c r="E1783" s="680"/>
      <c r="F1783" s="680"/>
      <c r="G1783" s="680"/>
      <c r="H1783" s="911"/>
      <c r="I1783" s="912"/>
      <c r="J1783" s="912"/>
      <c r="K1783" s="913"/>
      <c r="L1783" s="913"/>
      <c r="M1783" s="913"/>
      <c r="N1783" s="913"/>
      <c r="O1783" s="913"/>
      <c r="P1783" s="913"/>
      <c r="Q1783" s="576"/>
      <c r="R1783" s="576"/>
      <c r="S1783" s="576"/>
      <c r="T1783" s="576"/>
      <c r="U1783" s="576"/>
      <c r="V1783" s="576"/>
      <c r="W1783" s="576"/>
      <c r="X1783" s="576"/>
      <c r="Y1783" s="576"/>
      <c r="Z1783" s="576"/>
    </row>
    <row r="1784" spans="1:26" ht="18.75">
      <c r="A1784" s="680"/>
      <c r="B1784" s="680"/>
      <c r="C1784" s="680"/>
      <c r="D1784" s="910"/>
      <c r="E1784" s="680"/>
      <c r="F1784" s="680"/>
      <c r="G1784" s="680"/>
      <c r="H1784" s="911"/>
      <c r="I1784" s="912"/>
      <c r="J1784" s="912"/>
      <c r="K1784" s="913"/>
      <c r="L1784" s="913"/>
      <c r="M1784" s="913"/>
      <c r="N1784" s="913"/>
      <c r="O1784" s="913"/>
      <c r="P1784" s="913"/>
      <c r="Q1784" s="576"/>
      <c r="R1784" s="576"/>
      <c r="S1784" s="576"/>
      <c r="T1784" s="576"/>
      <c r="U1784" s="576"/>
      <c r="V1784" s="576"/>
      <c r="W1784" s="576"/>
      <c r="X1784" s="576"/>
      <c r="Y1784" s="576"/>
      <c r="Z1784" s="576"/>
    </row>
    <row r="1785" spans="1:26" ht="18.75">
      <c r="A1785" s="680"/>
      <c r="B1785" s="680"/>
      <c r="C1785" s="680"/>
      <c r="D1785" s="910"/>
      <c r="E1785" s="680"/>
      <c r="F1785" s="680"/>
      <c r="G1785" s="680"/>
      <c r="H1785" s="911"/>
      <c r="I1785" s="912"/>
      <c r="J1785" s="912"/>
      <c r="K1785" s="913"/>
      <c r="L1785" s="913"/>
      <c r="M1785" s="913"/>
      <c r="N1785" s="913"/>
      <c r="O1785" s="913"/>
      <c r="P1785" s="913"/>
      <c r="Q1785" s="576"/>
      <c r="R1785" s="576"/>
      <c r="S1785" s="576"/>
      <c r="T1785" s="576"/>
      <c r="U1785" s="576"/>
      <c r="V1785" s="576"/>
      <c r="W1785" s="576"/>
      <c r="X1785" s="576"/>
      <c r="Y1785" s="576"/>
      <c r="Z1785" s="576"/>
    </row>
    <row r="1786" spans="1:26" ht="18.75">
      <c r="A1786" s="680"/>
      <c r="B1786" s="680"/>
      <c r="C1786" s="680"/>
      <c r="D1786" s="910"/>
      <c r="E1786" s="680"/>
      <c r="F1786" s="680"/>
      <c r="G1786" s="680"/>
      <c r="H1786" s="911"/>
      <c r="I1786" s="912"/>
      <c r="J1786" s="912"/>
      <c r="K1786" s="913"/>
      <c r="L1786" s="913"/>
      <c r="M1786" s="913"/>
      <c r="N1786" s="913"/>
      <c r="O1786" s="913"/>
      <c r="P1786" s="913"/>
      <c r="Q1786" s="576"/>
      <c r="R1786" s="576"/>
      <c r="S1786" s="576"/>
      <c r="T1786" s="576"/>
      <c r="U1786" s="576"/>
      <c r="V1786" s="576"/>
      <c r="W1786" s="576"/>
      <c r="X1786" s="576"/>
      <c r="Y1786" s="576"/>
      <c r="Z1786" s="576"/>
    </row>
    <row r="1787" spans="1:26" ht="18.75">
      <c r="A1787" s="680"/>
      <c r="B1787" s="680"/>
      <c r="C1787" s="680"/>
      <c r="D1787" s="910"/>
      <c r="E1787" s="680"/>
      <c r="F1787" s="680"/>
      <c r="G1787" s="680"/>
      <c r="H1787" s="911"/>
      <c r="I1787" s="912"/>
      <c r="J1787" s="912"/>
      <c r="K1787" s="913"/>
      <c r="L1787" s="913"/>
      <c r="M1787" s="913"/>
      <c r="N1787" s="913"/>
      <c r="O1787" s="913"/>
      <c r="P1787" s="913"/>
      <c r="Q1787" s="576"/>
      <c r="R1787" s="576"/>
      <c r="S1787" s="576"/>
      <c r="T1787" s="576"/>
      <c r="U1787" s="576"/>
      <c r="V1787" s="576"/>
      <c r="W1787" s="576"/>
      <c r="X1787" s="576"/>
      <c r="Y1787" s="576"/>
      <c r="Z1787" s="576"/>
    </row>
    <row r="1788" spans="1:26" ht="18.75">
      <c r="A1788" s="680"/>
      <c r="B1788" s="680"/>
      <c r="C1788" s="680"/>
      <c r="D1788" s="910"/>
      <c r="E1788" s="680"/>
      <c r="F1788" s="680"/>
      <c r="G1788" s="680"/>
      <c r="H1788" s="911"/>
      <c r="I1788" s="912"/>
      <c r="J1788" s="912"/>
      <c r="K1788" s="913"/>
      <c r="L1788" s="913"/>
      <c r="M1788" s="913"/>
      <c r="N1788" s="913"/>
      <c r="O1788" s="913"/>
      <c r="P1788" s="913"/>
      <c r="Q1788" s="576"/>
      <c r="R1788" s="576"/>
      <c r="S1788" s="576"/>
      <c r="T1788" s="576"/>
      <c r="U1788" s="576"/>
      <c r="V1788" s="576"/>
      <c r="W1788" s="576"/>
      <c r="X1788" s="576"/>
      <c r="Y1788" s="576"/>
      <c r="Z1788" s="576"/>
    </row>
    <row r="1789" spans="1:26" ht="18.75">
      <c r="A1789" s="680"/>
      <c r="B1789" s="680"/>
      <c r="C1789" s="680"/>
      <c r="D1789" s="910"/>
      <c r="E1789" s="680"/>
      <c r="F1789" s="680"/>
      <c r="G1789" s="680"/>
      <c r="H1789" s="911"/>
      <c r="I1789" s="912"/>
      <c r="J1789" s="912"/>
      <c r="K1789" s="913"/>
      <c r="L1789" s="913"/>
      <c r="M1789" s="913"/>
      <c r="N1789" s="913"/>
      <c r="O1789" s="913"/>
      <c r="P1789" s="913"/>
      <c r="Q1789" s="576"/>
      <c r="R1789" s="576"/>
      <c r="S1789" s="576"/>
      <c r="T1789" s="576"/>
      <c r="U1789" s="576"/>
      <c r="V1789" s="576"/>
      <c r="W1789" s="576"/>
      <c r="X1789" s="576"/>
      <c r="Y1789" s="576"/>
      <c r="Z1789" s="576"/>
    </row>
    <row r="1790" spans="1:26" ht="18.75">
      <c r="A1790" s="680"/>
      <c r="B1790" s="680"/>
      <c r="C1790" s="680"/>
      <c r="D1790" s="910"/>
      <c r="E1790" s="680"/>
      <c r="F1790" s="680"/>
      <c r="G1790" s="680"/>
      <c r="H1790" s="911"/>
      <c r="I1790" s="912"/>
      <c r="J1790" s="912"/>
      <c r="K1790" s="913"/>
      <c r="L1790" s="913"/>
      <c r="M1790" s="913"/>
      <c r="N1790" s="913"/>
      <c r="O1790" s="913"/>
      <c r="P1790" s="913"/>
      <c r="Q1790" s="576"/>
      <c r="R1790" s="576"/>
      <c r="S1790" s="576"/>
      <c r="T1790" s="576"/>
      <c r="U1790" s="576"/>
      <c r="V1790" s="576"/>
      <c r="W1790" s="576"/>
      <c r="X1790" s="576"/>
      <c r="Y1790" s="576"/>
      <c r="Z1790" s="576"/>
    </row>
    <row r="1791" spans="1:26" ht="18.75">
      <c r="A1791" s="680"/>
      <c r="B1791" s="680"/>
      <c r="C1791" s="680"/>
      <c r="D1791" s="910"/>
      <c r="E1791" s="680"/>
      <c r="F1791" s="680"/>
      <c r="G1791" s="680"/>
      <c r="H1791" s="911"/>
      <c r="I1791" s="912"/>
      <c r="J1791" s="912"/>
      <c r="K1791" s="913"/>
      <c r="L1791" s="913"/>
      <c r="M1791" s="913"/>
      <c r="N1791" s="913"/>
      <c r="O1791" s="913"/>
      <c r="P1791" s="913"/>
      <c r="Q1791" s="576"/>
      <c r="R1791" s="576"/>
      <c r="S1791" s="576"/>
      <c r="T1791" s="576"/>
      <c r="U1791" s="576"/>
      <c r="V1791" s="576"/>
      <c r="W1791" s="576"/>
      <c r="X1791" s="576"/>
      <c r="Y1791" s="576"/>
      <c r="Z1791" s="576"/>
    </row>
    <row r="1792" spans="1:26" ht="18.75">
      <c r="A1792" s="680"/>
      <c r="B1792" s="680"/>
      <c r="C1792" s="680"/>
      <c r="D1792" s="910"/>
      <c r="E1792" s="680"/>
      <c r="F1792" s="680"/>
      <c r="G1792" s="680"/>
      <c r="H1792" s="911"/>
      <c r="I1792" s="912"/>
      <c r="J1792" s="912"/>
      <c r="K1792" s="913"/>
      <c r="L1792" s="913"/>
      <c r="M1792" s="913"/>
      <c r="N1792" s="913"/>
      <c r="O1792" s="913"/>
      <c r="P1792" s="913"/>
      <c r="Q1792" s="576"/>
      <c r="R1792" s="576"/>
      <c r="S1792" s="576"/>
      <c r="T1792" s="576"/>
      <c r="U1792" s="576"/>
      <c r="V1792" s="576"/>
      <c r="W1792" s="576"/>
      <c r="X1792" s="576"/>
      <c r="Y1792" s="576"/>
      <c r="Z1792" s="576"/>
    </row>
    <row r="1793" spans="1:26" ht="18.75">
      <c r="A1793" s="680"/>
      <c r="B1793" s="680"/>
      <c r="C1793" s="680"/>
      <c r="D1793" s="910"/>
      <c r="E1793" s="680"/>
      <c r="F1793" s="680"/>
      <c r="G1793" s="680"/>
      <c r="H1793" s="911"/>
      <c r="I1793" s="912"/>
      <c r="J1793" s="912"/>
      <c r="K1793" s="913"/>
      <c r="L1793" s="913"/>
      <c r="M1793" s="913"/>
      <c r="N1793" s="913"/>
      <c r="O1793" s="913"/>
      <c r="P1793" s="913"/>
      <c r="Q1793" s="576"/>
      <c r="R1793" s="576"/>
      <c r="S1793" s="576"/>
      <c r="T1793" s="576"/>
      <c r="U1793" s="576"/>
      <c r="V1793" s="576"/>
      <c r="W1793" s="576"/>
      <c r="X1793" s="576"/>
      <c r="Y1793" s="576"/>
      <c r="Z1793" s="576"/>
    </row>
    <row r="1794" spans="1:26" ht="18.75">
      <c r="A1794" s="680"/>
      <c r="B1794" s="680"/>
      <c r="C1794" s="680"/>
      <c r="D1794" s="910"/>
      <c r="E1794" s="680"/>
      <c r="F1794" s="680"/>
      <c r="G1794" s="680"/>
      <c r="H1794" s="911"/>
      <c r="I1794" s="912"/>
      <c r="J1794" s="912"/>
      <c r="K1794" s="913"/>
      <c r="L1794" s="913"/>
      <c r="M1794" s="913"/>
      <c r="N1794" s="913"/>
      <c r="O1794" s="913"/>
      <c r="P1794" s="913"/>
      <c r="Q1794" s="576"/>
      <c r="R1794" s="576"/>
      <c r="S1794" s="576"/>
      <c r="T1794" s="576"/>
      <c r="U1794" s="576"/>
      <c r="V1794" s="576"/>
      <c r="W1794" s="576"/>
      <c r="X1794" s="576"/>
      <c r="Y1794" s="576"/>
      <c r="Z1794" s="576"/>
    </row>
    <row r="1795" spans="1:26" ht="18.75">
      <c r="A1795" s="680"/>
      <c r="B1795" s="680"/>
      <c r="C1795" s="680"/>
      <c r="D1795" s="910"/>
      <c r="E1795" s="680"/>
      <c r="F1795" s="680"/>
      <c r="G1795" s="680"/>
      <c r="H1795" s="911"/>
      <c r="I1795" s="912"/>
      <c r="J1795" s="912"/>
      <c r="K1795" s="913"/>
      <c r="L1795" s="913"/>
      <c r="M1795" s="913"/>
      <c r="N1795" s="913"/>
      <c r="O1795" s="913"/>
      <c r="P1795" s="913"/>
      <c r="Q1795" s="576"/>
      <c r="R1795" s="576"/>
      <c r="S1795" s="576"/>
      <c r="T1795" s="576"/>
      <c r="U1795" s="576"/>
      <c r="V1795" s="576"/>
      <c r="W1795" s="576"/>
      <c r="X1795" s="576"/>
      <c r="Y1795" s="576"/>
      <c r="Z1795" s="576"/>
    </row>
    <row r="1796" spans="1:26" ht="18.75">
      <c r="A1796" s="680"/>
      <c r="B1796" s="680"/>
      <c r="C1796" s="680"/>
      <c r="D1796" s="910"/>
      <c r="E1796" s="680"/>
      <c r="F1796" s="680"/>
      <c r="G1796" s="680"/>
      <c r="H1796" s="911"/>
      <c r="I1796" s="912"/>
      <c r="J1796" s="912"/>
      <c r="K1796" s="913"/>
      <c r="L1796" s="913"/>
      <c r="M1796" s="913"/>
      <c r="N1796" s="913"/>
      <c r="O1796" s="913"/>
      <c r="P1796" s="913"/>
      <c r="Q1796" s="576"/>
      <c r="R1796" s="576"/>
      <c r="S1796" s="576"/>
      <c r="T1796" s="576"/>
      <c r="U1796" s="576"/>
      <c r="V1796" s="576"/>
      <c r="W1796" s="576"/>
      <c r="X1796" s="576"/>
      <c r="Y1796" s="576"/>
      <c r="Z1796" s="576"/>
    </row>
    <row r="1797" spans="1:26" ht="18.75">
      <c r="A1797" s="680"/>
      <c r="B1797" s="680"/>
      <c r="C1797" s="680"/>
      <c r="D1797" s="910"/>
      <c r="E1797" s="680"/>
      <c r="F1797" s="680"/>
      <c r="G1797" s="680"/>
      <c r="H1797" s="911"/>
      <c r="I1797" s="912"/>
      <c r="J1797" s="912"/>
      <c r="K1797" s="913"/>
      <c r="L1797" s="913"/>
      <c r="M1797" s="913"/>
      <c r="N1797" s="913"/>
      <c r="O1797" s="913"/>
      <c r="P1797" s="913"/>
      <c r="Q1797" s="576"/>
      <c r="R1797" s="576"/>
      <c r="S1797" s="576"/>
      <c r="T1797" s="576"/>
      <c r="U1797" s="576"/>
      <c r="V1797" s="576"/>
      <c r="W1797" s="576"/>
      <c r="X1797" s="576"/>
      <c r="Y1797" s="576"/>
      <c r="Z1797" s="576"/>
    </row>
    <row r="1798" spans="1:26" ht="18.75">
      <c r="A1798" s="680"/>
      <c r="B1798" s="680"/>
      <c r="C1798" s="680"/>
      <c r="D1798" s="910"/>
      <c r="E1798" s="680"/>
      <c r="F1798" s="680"/>
      <c r="G1798" s="680"/>
      <c r="H1798" s="911"/>
      <c r="I1798" s="912"/>
      <c r="J1798" s="912"/>
      <c r="K1798" s="913"/>
      <c r="L1798" s="913"/>
      <c r="M1798" s="913"/>
      <c r="N1798" s="913"/>
      <c r="O1798" s="913"/>
      <c r="P1798" s="913"/>
      <c r="Q1798" s="576"/>
      <c r="R1798" s="576"/>
      <c r="S1798" s="576"/>
      <c r="T1798" s="576"/>
      <c r="U1798" s="576"/>
      <c r="V1798" s="576"/>
      <c r="W1798" s="576"/>
      <c r="X1798" s="576"/>
      <c r="Y1798" s="576"/>
      <c r="Z1798" s="576"/>
    </row>
    <row r="1799" spans="1:26" ht="18.75">
      <c r="A1799" s="680"/>
      <c r="B1799" s="680"/>
      <c r="C1799" s="680"/>
      <c r="D1799" s="910"/>
      <c r="E1799" s="680"/>
      <c r="F1799" s="680"/>
      <c r="G1799" s="680"/>
      <c r="H1799" s="911"/>
      <c r="I1799" s="912"/>
      <c r="J1799" s="912"/>
      <c r="K1799" s="913"/>
      <c r="L1799" s="913"/>
      <c r="M1799" s="913"/>
      <c r="N1799" s="913"/>
      <c r="O1799" s="913"/>
      <c r="P1799" s="913"/>
      <c r="Q1799" s="576"/>
      <c r="R1799" s="576"/>
      <c r="S1799" s="576"/>
      <c r="T1799" s="576"/>
      <c r="U1799" s="576"/>
      <c r="V1799" s="576"/>
      <c r="W1799" s="576"/>
      <c r="X1799" s="576"/>
      <c r="Y1799" s="576"/>
      <c r="Z1799" s="576"/>
    </row>
    <row r="1800" spans="1:26" ht="18.75">
      <c r="A1800" s="680"/>
      <c r="B1800" s="680"/>
      <c r="C1800" s="680"/>
      <c r="D1800" s="910"/>
      <c r="E1800" s="680"/>
      <c r="F1800" s="680"/>
      <c r="G1800" s="680"/>
      <c r="H1800" s="911"/>
      <c r="I1800" s="912"/>
      <c r="J1800" s="912"/>
      <c r="K1800" s="913"/>
      <c r="L1800" s="913"/>
      <c r="M1800" s="913"/>
      <c r="N1800" s="913"/>
      <c r="O1800" s="913"/>
      <c r="P1800" s="913"/>
      <c r="Q1800" s="576"/>
      <c r="R1800" s="576"/>
      <c r="S1800" s="576"/>
      <c r="T1800" s="576"/>
      <c r="U1800" s="576"/>
      <c r="V1800" s="576"/>
      <c r="W1800" s="576"/>
      <c r="X1800" s="576"/>
      <c r="Y1800" s="576"/>
      <c r="Z1800" s="576"/>
    </row>
    <row r="1801" spans="1:26" ht="18.75">
      <c r="A1801" s="680"/>
      <c r="B1801" s="680"/>
      <c r="C1801" s="680"/>
      <c r="D1801" s="910"/>
      <c r="E1801" s="680"/>
      <c r="F1801" s="680"/>
      <c r="G1801" s="680"/>
      <c r="H1801" s="911"/>
      <c r="I1801" s="912"/>
      <c r="J1801" s="912"/>
      <c r="K1801" s="913"/>
      <c r="L1801" s="913"/>
      <c r="M1801" s="913"/>
      <c r="N1801" s="913"/>
      <c r="O1801" s="913"/>
      <c r="P1801" s="913"/>
      <c r="Q1801" s="576"/>
      <c r="R1801" s="576"/>
      <c r="S1801" s="576"/>
      <c r="T1801" s="576"/>
      <c r="U1801" s="576"/>
      <c r="V1801" s="576"/>
      <c r="W1801" s="576"/>
      <c r="X1801" s="576"/>
      <c r="Y1801" s="576"/>
      <c r="Z1801" s="576"/>
    </row>
    <row r="1802" spans="1:26" ht="18.75">
      <c r="A1802" s="680"/>
      <c r="B1802" s="680"/>
      <c r="C1802" s="680"/>
      <c r="D1802" s="910"/>
      <c r="E1802" s="680"/>
      <c r="F1802" s="680"/>
      <c r="G1802" s="680"/>
      <c r="H1802" s="911"/>
      <c r="I1802" s="912"/>
      <c r="J1802" s="912"/>
      <c r="K1802" s="913"/>
      <c r="L1802" s="913"/>
      <c r="M1802" s="913"/>
      <c r="N1802" s="913"/>
      <c r="O1802" s="913"/>
      <c r="P1802" s="913"/>
      <c r="Q1802" s="576"/>
      <c r="R1802" s="576"/>
      <c r="S1802" s="576"/>
      <c r="T1802" s="576"/>
      <c r="U1802" s="576"/>
      <c r="V1802" s="576"/>
      <c r="W1802" s="576"/>
      <c r="X1802" s="576"/>
      <c r="Y1802" s="576"/>
      <c r="Z1802" s="576"/>
    </row>
    <row r="1803" spans="1:26" ht="18.75">
      <c r="A1803" s="680"/>
      <c r="B1803" s="680"/>
      <c r="C1803" s="680"/>
      <c r="D1803" s="910"/>
      <c r="E1803" s="680"/>
      <c r="F1803" s="680"/>
      <c r="G1803" s="680"/>
      <c r="H1803" s="911"/>
      <c r="I1803" s="912"/>
      <c r="J1803" s="912"/>
      <c r="K1803" s="913"/>
      <c r="L1803" s="913"/>
      <c r="M1803" s="913"/>
      <c r="N1803" s="913"/>
      <c r="O1803" s="913"/>
      <c r="P1803" s="913"/>
      <c r="Q1803" s="576"/>
      <c r="R1803" s="576"/>
      <c r="S1803" s="576"/>
      <c r="T1803" s="576"/>
      <c r="U1803" s="576"/>
      <c r="V1803" s="576"/>
      <c r="W1803" s="576"/>
      <c r="X1803" s="576"/>
      <c r="Y1803" s="576"/>
      <c r="Z1803" s="576"/>
    </row>
    <row r="1804" spans="1:26" ht="18.75">
      <c r="A1804" s="680"/>
      <c r="B1804" s="680"/>
      <c r="C1804" s="680"/>
      <c r="D1804" s="910"/>
      <c r="E1804" s="680"/>
      <c r="F1804" s="680"/>
      <c r="G1804" s="680"/>
      <c r="H1804" s="911"/>
      <c r="I1804" s="912"/>
      <c r="J1804" s="912"/>
      <c r="K1804" s="913"/>
      <c r="L1804" s="913"/>
      <c r="M1804" s="913"/>
      <c r="N1804" s="913"/>
      <c r="O1804" s="913"/>
      <c r="P1804" s="913"/>
      <c r="Q1804" s="576"/>
      <c r="R1804" s="576"/>
      <c r="S1804" s="576"/>
      <c r="T1804" s="576"/>
      <c r="U1804" s="576"/>
      <c r="V1804" s="576"/>
      <c r="W1804" s="576"/>
      <c r="X1804" s="576"/>
      <c r="Y1804" s="576"/>
      <c r="Z1804" s="576"/>
    </row>
    <row r="1805" spans="1:26" ht="18.75">
      <c r="A1805" s="680"/>
      <c r="B1805" s="680"/>
      <c r="C1805" s="680"/>
      <c r="D1805" s="910"/>
      <c r="E1805" s="680"/>
      <c r="F1805" s="680"/>
      <c r="G1805" s="680"/>
      <c r="H1805" s="911"/>
      <c r="I1805" s="912"/>
      <c r="J1805" s="912"/>
      <c r="K1805" s="913"/>
      <c r="L1805" s="913"/>
      <c r="M1805" s="913"/>
      <c r="N1805" s="913"/>
      <c r="O1805" s="913"/>
      <c r="P1805" s="913"/>
      <c r="Q1805" s="576"/>
      <c r="R1805" s="576"/>
      <c r="S1805" s="576"/>
      <c r="T1805" s="576"/>
      <c r="U1805" s="576"/>
      <c r="V1805" s="576"/>
      <c r="W1805" s="576"/>
      <c r="X1805" s="576"/>
      <c r="Y1805" s="576"/>
      <c r="Z1805" s="576"/>
    </row>
    <row r="1806" spans="1:26" ht="18.75">
      <c r="A1806" s="680"/>
      <c r="B1806" s="680"/>
      <c r="C1806" s="680"/>
      <c r="D1806" s="910"/>
      <c r="E1806" s="680"/>
      <c r="F1806" s="680"/>
      <c r="G1806" s="680"/>
      <c r="H1806" s="911"/>
      <c r="I1806" s="912"/>
      <c r="J1806" s="912"/>
      <c r="K1806" s="913"/>
      <c r="L1806" s="913"/>
      <c r="M1806" s="913"/>
      <c r="N1806" s="913"/>
      <c r="O1806" s="913"/>
      <c r="P1806" s="913"/>
      <c r="Q1806" s="576"/>
      <c r="R1806" s="576"/>
      <c r="S1806" s="576"/>
      <c r="T1806" s="576"/>
      <c r="U1806" s="576"/>
      <c r="V1806" s="576"/>
      <c r="W1806" s="576"/>
      <c r="X1806" s="576"/>
      <c r="Y1806" s="576"/>
      <c r="Z1806" s="576"/>
    </row>
    <row r="1807" spans="1:26" ht="18.75">
      <c r="A1807" s="680"/>
      <c r="B1807" s="680"/>
      <c r="C1807" s="680"/>
      <c r="D1807" s="910"/>
      <c r="E1807" s="680"/>
      <c r="F1807" s="680"/>
      <c r="G1807" s="680"/>
      <c r="H1807" s="911"/>
      <c r="I1807" s="912"/>
      <c r="J1807" s="912"/>
      <c r="K1807" s="913"/>
      <c r="L1807" s="913"/>
      <c r="M1807" s="913"/>
      <c r="N1807" s="913"/>
      <c r="O1807" s="913"/>
      <c r="P1807" s="913"/>
      <c r="Q1807" s="576"/>
      <c r="R1807" s="576"/>
      <c r="S1807" s="576"/>
      <c r="T1807" s="576"/>
      <c r="U1807" s="576"/>
      <c r="V1807" s="576"/>
      <c r="W1807" s="576"/>
      <c r="X1807" s="576"/>
      <c r="Y1807" s="576"/>
      <c r="Z1807" s="576"/>
    </row>
    <row r="1808" spans="1:26" ht="18.75">
      <c r="A1808" s="680"/>
      <c r="B1808" s="680"/>
      <c r="C1808" s="680"/>
      <c r="D1808" s="910"/>
      <c r="E1808" s="680"/>
      <c r="F1808" s="680"/>
      <c r="G1808" s="680"/>
      <c r="H1808" s="911"/>
      <c r="I1808" s="912"/>
      <c r="J1808" s="912"/>
      <c r="K1808" s="913"/>
      <c r="L1808" s="913"/>
      <c r="M1808" s="913"/>
      <c r="N1808" s="913"/>
      <c r="O1808" s="913"/>
      <c r="P1808" s="913"/>
      <c r="Q1808" s="576"/>
      <c r="R1808" s="576"/>
      <c r="S1808" s="576"/>
      <c r="T1808" s="576"/>
      <c r="U1808" s="576"/>
      <c r="V1808" s="576"/>
      <c r="W1808" s="576"/>
      <c r="X1808" s="576"/>
      <c r="Y1808" s="576"/>
      <c r="Z1808" s="576"/>
    </row>
    <row r="1809" spans="1:26" ht="18.75">
      <c r="A1809" s="680"/>
      <c r="B1809" s="680"/>
      <c r="C1809" s="680"/>
      <c r="D1809" s="910"/>
      <c r="E1809" s="680"/>
      <c r="F1809" s="680"/>
      <c r="G1809" s="680"/>
      <c r="H1809" s="911"/>
      <c r="I1809" s="912"/>
      <c r="J1809" s="912"/>
      <c r="K1809" s="913"/>
      <c r="L1809" s="913"/>
      <c r="M1809" s="913"/>
      <c r="N1809" s="913"/>
      <c r="O1809" s="913"/>
      <c r="P1809" s="913"/>
      <c r="Q1809" s="576"/>
      <c r="R1809" s="576"/>
      <c r="S1809" s="576"/>
      <c r="T1809" s="576"/>
      <c r="U1809" s="576"/>
      <c r="V1809" s="576"/>
      <c r="W1809" s="576"/>
      <c r="X1809" s="576"/>
      <c r="Y1809" s="576"/>
      <c r="Z1809" s="576"/>
    </row>
    <row r="1810" spans="1:26" ht="18.75">
      <c r="A1810" s="680"/>
      <c r="B1810" s="680"/>
      <c r="C1810" s="680"/>
      <c r="D1810" s="910"/>
      <c r="E1810" s="680"/>
      <c r="F1810" s="680"/>
      <c r="G1810" s="680"/>
      <c r="H1810" s="911"/>
      <c r="I1810" s="912"/>
      <c r="J1810" s="912"/>
      <c r="K1810" s="913"/>
      <c r="L1810" s="913"/>
      <c r="M1810" s="913"/>
      <c r="N1810" s="913"/>
      <c r="O1810" s="913"/>
      <c r="P1810" s="913"/>
      <c r="Q1810" s="576"/>
      <c r="R1810" s="576"/>
      <c r="S1810" s="576"/>
      <c r="T1810" s="576"/>
      <c r="U1810" s="576"/>
      <c r="V1810" s="576"/>
      <c r="W1810" s="576"/>
      <c r="X1810" s="576"/>
      <c r="Y1810" s="576"/>
      <c r="Z1810" s="576"/>
    </row>
    <row r="1811" spans="1:26" ht="18.75">
      <c r="A1811" s="680"/>
      <c r="B1811" s="680"/>
      <c r="C1811" s="680"/>
      <c r="D1811" s="910"/>
      <c r="E1811" s="680"/>
      <c r="F1811" s="680"/>
      <c r="G1811" s="680"/>
      <c r="H1811" s="911"/>
      <c r="I1811" s="912"/>
      <c r="J1811" s="912"/>
      <c r="K1811" s="913"/>
      <c r="L1811" s="913"/>
      <c r="M1811" s="913"/>
      <c r="N1811" s="913"/>
      <c r="O1811" s="913"/>
      <c r="P1811" s="913"/>
      <c r="Q1811" s="576"/>
      <c r="R1811" s="576"/>
      <c r="S1811" s="576"/>
      <c r="T1811" s="576"/>
      <c r="U1811" s="576"/>
      <c r="V1811" s="576"/>
      <c r="W1811" s="576"/>
      <c r="X1811" s="576"/>
      <c r="Y1811" s="576"/>
      <c r="Z1811" s="576"/>
    </row>
    <row r="1812" spans="1:26" ht="18.75">
      <c r="A1812" s="680"/>
      <c r="B1812" s="680"/>
      <c r="C1812" s="680"/>
      <c r="D1812" s="910"/>
      <c r="E1812" s="680"/>
      <c r="F1812" s="680"/>
      <c r="G1812" s="680"/>
      <c r="H1812" s="911"/>
      <c r="I1812" s="912"/>
      <c r="J1812" s="912"/>
      <c r="K1812" s="913"/>
      <c r="L1812" s="913"/>
      <c r="M1812" s="913"/>
      <c r="N1812" s="913"/>
      <c r="O1812" s="913"/>
      <c r="P1812" s="913"/>
      <c r="Q1812" s="576"/>
      <c r="R1812" s="576"/>
      <c r="S1812" s="576"/>
      <c r="T1812" s="576"/>
      <c r="U1812" s="576"/>
      <c r="V1812" s="576"/>
      <c r="W1812" s="576"/>
      <c r="X1812" s="576"/>
      <c r="Y1812" s="576"/>
      <c r="Z1812" s="576"/>
    </row>
    <row r="1813" spans="1:26" ht="18.75">
      <c r="A1813" s="680"/>
      <c r="B1813" s="680"/>
      <c r="C1813" s="680"/>
      <c r="D1813" s="910"/>
      <c r="E1813" s="680"/>
      <c r="F1813" s="680"/>
      <c r="G1813" s="680"/>
      <c r="H1813" s="911"/>
      <c r="I1813" s="912"/>
      <c r="J1813" s="912"/>
      <c r="K1813" s="913"/>
      <c r="L1813" s="913"/>
      <c r="M1813" s="913"/>
      <c r="N1813" s="913"/>
      <c r="O1813" s="913"/>
      <c r="P1813" s="913"/>
      <c r="Q1813" s="576"/>
      <c r="R1813" s="576"/>
      <c r="S1813" s="576"/>
      <c r="T1813" s="576"/>
      <c r="U1813" s="576"/>
      <c r="V1813" s="576"/>
      <c r="W1813" s="576"/>
      <c r="X1813" s="576"/>
      <c r="Y1813" s="576"/>
      <c r="Z1813" s="576"/>
    </row>
    <row r="1814" spans="1:26" ht="18.75">
      <c r="A1814" s="680"/>
      <c r="B1814" s="680"/>
      <c r="C1814" s="680"/>
      <c r="D1814" s="910"/>
      <c r="E1814" s="680"/>
      <c r="F1814" s="680"/>
      <c r="G1814" s="680"/>
      <c r="H1814" s="911"/>
      <c r="I1814" s="912"/>
      <c r="J1814" s="912"/>
      <c r="K1814" s="913"/>
      <c r="L1814" s="913"/>
      <c r="M1814" s="913"/>
      <c r="N1814" s="913"/>
      <c r="O1814" s="913"/>
      <c r="P1814" s="913"/>
      <c r="Q1814" s="576"/>
      <c r="R1814" s="576"/>
      <c r="S1814" s="576"/>
      <c r="T1814" s="576"/>
      <c r="U1814" s="576"/>
      <c r="V1814" s="576"/>
      <c r="W1814" s="576"/>
      <c r="X1814" s="576"/>
      <c r="Y1814" s="576"/>
      <c r="Z1814" s="576"/>
    </row>
    <row r="1815" spans="1:26" ht="18.75">
      <c r="A1815" s="680"/>
      <c r="B1815" s="680"/>
      <c r="C1815" s="680"/>
      <c r="D1815" s="910"/>
      <c r="E1815" s="680"/>
      <c r="F1815" s="680"/>
      <c r="G1815" s="680"/>
      <c r="H1815" s="911"/>
      <c r="I1815" s="912"/>
      <c r="J1815" s="912"/>
      <c r="K1815" s="913"/>
      <c r="L1815" s="913"/>
      <c r="M1815" s="913"/>
      <c r="N1815" s="913"/>
      <c r="O1815" s="913"/>
      <c r="P1815" s="913"/>
      <c r="Q1815" s="576"/>
      <c r="R1815" s="576"/>
      <c r="S1815" s="576"/>
      <c r="T1815" s="576"/>
      <c r="U1815" s="576"/>
      <c r="V1815" s="576"/>
      <c r="W1815" s="576"/>
      <c r="X1815" s="576"/>
      <c r="Y1815" s="576"/>
      <c r="Z1815" s="576"/>
    </row>
    <row r="1816" spans="1:26" ht="18.75">
      <c r="A1816" s="680"/>
      <c r="B1816" s="680"/>
      <c r="C1816" s="680"/>
      <c r="D1816" s="910"/>
      <c r="E1816" s="680"/>
      <c r="F1816" s="680"/>
      <c r="G1816" s="680"/>
      <c r="H1816" s="911"/>
      <c r="I1816" s="912"/>
      <c r="J1816" s="912"/>
      <c r="K1816" s="913"/>
      <c r="L1816" s="913"/>
      <c r="M1816" s="913"/>
      <c r="N1816" s="913"/>
      <c r="O1816" s="913"/>
      <c r="P1816" s="913"/>
      <c r="Q1816" s="576"/>
      <c r="R1816" s="576"/>
      <c r="S1816" s="576"/>
      <c r="T1816" s="576"/>
      <c r="U1816" s="576"/>
      <c r="V1816" s="576"/>
      <c r="W1816" s="576"/>
      <c r="X1816" s="576"/>
      <c r="Y1816" s="576"/>
      <c r="Z1816" s="576"/>
    </row>
    <row r="1817" spans="1:26" ht="18.75">
      <c r="A1817" s="680"/>
      <c r="B1817" s="680"/>
      <c r="C1817" s="680"/>
      <c r="D1817" s="910"/>
      <c r="E1817" s="680"/>
      <c r="F1817" s="680"/>
      <c r="G1817" s="680"/>
      <c r="H1817" s="911"/>
      <c r="I1817" s="912"/>
      <c r="J1817" s="912"/>
      <c r="K1817" s="913"/>
      <c r="L1817" s="913"/>
      <c r="M1817" s="913"/>
      <c r="N1817" s="913"/>
      <c r="O1817" s="913"/>
      <c r="P1817" s="913"/>
      <c r="Q1817" s="576"/>
      <c r="R1817" s="576"/>
      <c r="S1817" s="576"/>
      <c r="T1817" s="576"/>
      <c r="U1817" s="576"/>
      <c r="V1817" s="576"/>
      <c r="W1817" s="576"/>
      <c r="X1817" s="576"/>
      <c r="Y1817" s="576"/>
      <c r="Z1817" s="576"/>
    </row>
    <row r="1818" spans="1:26" ht="18.75">
      <c r="A1818" s="680"/>
      <c r="B1818" s="680"/>
      <c r="C1818" s="680"/>
      <c r="D1818" s="910"/>
      <c r="E1818" s="680"/>
      <c r="F1818" s="680"/>
      <c r="G1818" s="680"/>
      <c r="H1818" s="911"/>
      <c r="I1818" s="912"/>
      <c r="J1818" s="912"/>
      <c r="K1818" s="913"/>
      <c r="L1818" s="913"/>
      <c r="M1818" s="913"/>
      <c r="N1818" s="913"/>
      <c r="O1818" s="913"/>
      <c r="P1818" s="913"/>
      <c r="Q1818" s="576"/>
      <c r="R1818" s="576"/>
      <c r="S1818" s="576"/>
      <c r="T1818" s="576"/>
      <c r="U1818" s="576"/>
      <c r="V1818" s="576"/>
      <c r="W1818" s="576"/>
      <c r="X1818" s="576"/>
      <c r="Y1818" s="576"/>
      <c r="Z1818" s="576"/>
    </row>
    <row r="1819" spans="1:26" ht="18.75">
      <c r="A1819" s="680"/>
      <c r="B1819" s="680"/>
      <c r="C1819" s="680"/>
      <c r="D1819" s="910"/>
      <c r="E1819" s="680"/>
      <c r="F1819" s="680"/>
      <c r="G1819" s="680"/>
      <c r="H1819" s="911"/>
      <c r="I1819" s="912"/>
      <c r="J1819" s="912"/>
      <c r="K1819" s="913"/>
      <c r="L1819" s="913"/>
      <c r="M1819" s="913"/>
      <c r="N1819" s="913"/>
      <c r="O1819" s="913"/>
      <c r="P1819" s="913"/>
      <c r="Q1819" s="576"/>
      <c r="R1819" s="576"/>
      <c r="S1819" s="576"/>
      <c r="T1819" s="576"/>
      <c r="U1819" s="576"/>
      <c r="V1819" s="576"/>
      <c r="W1819" s="576"/>
      <c r="X1819" s="576"/>
      <c r="Y1819" s="576"/>
      <c r="Z1819" s="576"/>
    </row>
    <row r="1820" spans="1:26" ht="18.75">
      <c r="A1820" s="680"/>
      <c r="B1820" s="680"/>
      <c r="C1820" s="680"/>
      <c r="D1820" s="910"/>
      <c r="E1820" s="680"/>
      <c r="F1820" s="680"/>
      <c r="G1820" s="680"/>
      <c r="H1820" s="911"/>
      <c r="I1820" s="912"/>
      <c r="J1820" s="912"/>
      <c r="K1820" s="913"/>
      <c r="L1820" s="913"/>
      <c r="M1820" s="913"/>
      <c r="N1820" s="913"/>
      <c r="O1820" s="913"/>
      <c r="P1820" s="913"/>
      <c r="Q1820" s="576"/>
      <c r="R1820" s="576"/>
      <c r="S1820" s="576"/>
      <c r="T1820" s="576"/>
      <c r="U1820" s="576"/>
      <c r="V1820" s="576"/>
      <c r="W1820" s="576"/>
      <c r="X1820" s="576"/>
      <c r="Y1820" s="576"/>
      <c r="Z1820" s="576"/>
    </row>
    <row r="1821" spans="1:26" ht="18.75">
      <c r="A1821" s="680"/>
      <c r="B1821" s="680"/>
      <c r="C1821" s="680"/>
      <c r="D1821" s="910"/>
      <c r="E1821" s="680"/>
      <c r="F1821" s="680"/>
      <c r="G1821" s="680"/>
      <c r="H1821" s="911"/>
      <c r="I1821" s="912"/>
      <c r="J1821" s="912"/>
      <c r="K1821" s="913"/>
      <c r="L1821" s="913"/>
      <c r="M1821" s="913"/>
      <c r="N1821" s="913"/>
      <c r="O1821" s="913"/>
      <c r="P1821" s="913"/>
      <c r="Q1821" s="576"/>
      <c r="R1821" s="576"/>
      <c r="S1821" s="576"/>
      <c r="T1821" s="576"/>
      <c r="U1821" s="576"/>
      <c r="V1821" s="576"/>
      <c r="W1821" s="576"/>
      <c r="X1821" s="576"/>
      <c r="Y1821" s="576"/>
      <c r="Z1821" s="576"/>
    </row>
    <row r="1822" spans="1:26" ht="18.75">
      <c r="A1822" s="680"/>
      <c r="B1822" s="680"/>
      <c r="C1822" s="680"/>
      <c r="D1822" s="910"/>
      <c r="E1822" s="680"/>
      <c r="F1822" s="680"/>
      <c r="G1822" s="680"/>
      <c r="H1822" s="911"/>
      <c r="I1822" s="912"/>
      <c r="J1822" s="912"/>
      <c r="K1822" s="913"/>
      <c r="L1822" s="913"/>
      <c r="M1822" s="913"/>
      <c r="N1822" s="913"/>
      <c r="O1822" s="913"/>
      <c r="P1822" s="913"/>
      <c r="Q1822" s="576"/>
      <c r="R1822" s="576"/>
      <c r="S1822" s="576"/>
      <c r="T1822" s="576"/>
      <c r="U1822" s="576"/>
      <c r="V1822" s="576"/>
      <c r="W1822" s="576"/>
      <c r="X1822" s="576"/>
      <c r="Y1822" s="576"/>
      <c r="Z1822" s="576"/>
    </row>
    <row r="1823" spans="1:26" ht="18.75">
      <c r="A1823" s="680"/>
      <c r="B1823" s="680"/>
      <c r="C1823" s="680"/>
      <c r="D1823" s="910"/>
      <c r="E1823" s="680"/>
      <c r="F1823" s="680"/>
      <c r="G1823" s="680"/>
      <c r="H1823" s="911"/>
      <c r="I1823" s="912"/>
      <c r="J1823" s="912"/>
      <c r="K1823" s="913"/>
      <c r="L1823" s="913"/>
      <c r="M1823" s="913"/>
      <c r="N1823" s="913"/>
      <c r="O1823" s="913"/>
      <c r="P1823" s="913"/>
      <c r="Q1823" s="576"/>
      <c r="R1823" s="576"/>
      <c r="S1823" s="576"/>
      <c r="T1823" s="576"/>
      <c r="U1823" s="576"/>
      <c r="V1823" s="576"/>
      <c r="W1823" s="576"/>
      <c r="X1823" s="576"/>
      <c r="Y1823" s="576"/>
      <c r="Z1823" s="576"/>
    </row>
    <row r="1824" spans="1:26" ht="18.75">
      <c r="A1824" s="680"/>
      <c r="B1824" s="680"/>
      <c r="C1824" s="680"/>
      <c r="D1824" s="910"/>
      <c r="E1824" s="680"/>
      <c r="F1824" s="680"/>
      <c r="G1824" s="680"/>
      <c r="H1824" s="911"/>
      <c r="I1824" s="912"/>
      <c r="J1824" s="912"/>
      <c r="K1824" s="913"/>
      <c r="L1824" s="913"/>
      <c r="M1824" s="913"/>
      <c r="N1824" s="913"/>
      <c r="O1824" s="913"/>
      <c r="P1824" s="913"/>
      <c r="Q1824" s="576"/>
      <c r="R1824" s="576"/>
      <c r="S1824" s="576"/>
      <c r="T1824" s="576"/>
      <c r="U1824" s="576"/>
      <c r="V1824" s="576"/>
      <c r="W1824" s="576"/>
      <c r="X1824" s="576"/>
      <c r="Y1824" s="576"/>
      <c r="Z1824" s="576"/>
    </row>
    <row r="1825" spans="1:26" ht="18.75">
      <c r="A1825" s="680"/>
      <c r="B1825" s="680"/>
      <c r="C1825" s="680"/>
      <c r="D1825" s="910"/>
      <c r="E1825" s="680"/>
      <c r="F1825" s="680"/>
      <c r="G1825" s="680"/>
      <c r="H1825" s="911"/>
      <c r="I1825" s="912"/>
      <c r="J1825" s="912"/>
      <c r="K1825" s="913"/>
      <c r="L1825" s="913"/>
      <c r="M1825" s="913"/>
      <c r="N1825" s="913"/>
      <c r="O1825" s="913"/>
      <c r="P1825" s="913"/>
      <c r="Q1825" s="576"/>
      <c r="R1825" s="576"/>
      <c r="S1825" s="576"/>
      <c r="T1825" s="576"/>
      <c r="U1825" s="576"/>
      <c r="V1825" s="576"/>
      <c r="W1825" s="576"/>
      <c r="X1825" s="576"/>
      <c r="Y1825" s="576"/>
      <c r="Z1825" s="576"/>
    </row>
    <row r="1826" spans="1:26" ht="18.75">
      <c r="A1826" s="680"/>
      <c r="B1826" s="680"/>
      <c r="C1826" s="680"/>
      <c r="D1826" s="910"/>
      <c r="E1826" s="680"/>
      <c r="F1826" s="680"/>
      <c r="G1826" s="680"/>
      <c r="H1826" s="911"/>
      <c r="I1826" s="912"/>
      <c r="J1826" s="912"/>
      <c r="K1826" s="913"/>
      <c r="L1826" s="913"/>
      <c r="M1826" s="913"/>
      <c r="N1826" s="913"/>
      <c r="O1826" s="913"/>
      <c r="P1826" s="913"/>
      <c r="Q1826" s="576"/>
      <c r="R1826" s="576"/>
      <c r="S1826" s="576"/>
      <c r="T1826" s="576"/>
      <c r="U1826" s="576"/>
      <c r="V1826" s="576"/>
      <c r="W1826" s="576"/>
      <c r="X1826" s="576"/>
      <c r="Y1826" s="576"/>
      <c r="Z1826" s="576"/>
    </row>
    <row r="1827" spans="1:26" ht="18.75">
      <c r="A1827" s="680"/>
      <c r="B1827" s="680"/>
      <c r="C1827" s="680"/>
      <c r="D1827" s="910"/>
      <c r="E1827" s="680"/>
      <c r="F1827" s="680"/>
      <c r="G1827" s="680"/>
      <c r="H1827" s="911"/>
      <c r="I1827" s="912"/>
      <c r="J1827" s="912"/>
      <c r="K1827" s="913"/>
      <c r="L1827" s="913"/>
      <c r="M1827" s="913"/>
      <c r="N1827" s="913"/>
      <c r="O1827" s="913"/>
      <c r="P1827" s="913"/>
      <c r="Q1827" s="576"/>
      <c r="R1827" s="576"/>
      <c r="S1827" s="576"/>
      <c r="T1827" s="576"/>
      <c r="U1827" s="576"/>
      <c r="V1827" s="576"/>
      <c r="W1827" s="576"/>
      <c r="X1827" s="576"/>
      <c r="Y1827" s="576"/>
      <c r="Z1827" s="576"/>
    </row>
    <row r="1828" spans="1:26" ht="18.75">
      <c r="A1828" s="680"/>
      <c r="B1828" s="680"/>
      <c r="C1828" s="680"/>
      <c r="D1828" s="910"/>
      <c r="E1828" s="680"/>
      <c r="F1828" s="680"/>
      <c r="G1828" s="680"/>
      <c r="H1828" s="911"/>
      <c r="I1828" s="912"/>
      <c r="J1828" s="912"/>
      <c r="K1828" s="913"/>
      <c r="L1828" s="913"/>
      <c r="M1828" s="913"/>
      <c r="N1828" s="913"/>
      <c r="O1828" s="913"/>
      <c r="P1828" s="913"/>
      <c r="Q1828" s="576"/>
      <c r="R1828" s="576"/>
      <c r="S1828" s="576"/>
      <c r="T1828" s="576"/>
      <c r="U1828" s="576"/>
      <c r="V1828" s="576"/>
      <c r="W1828" s="576"/>
      <c r="X1828" s="576"/>
      <c r="Y1828" s="576"/>
      <c r="Z1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EB01F-9FEB-4C5B-84E6-635C986A70D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7211936</v>
      </c>
      <c r="M8" s="22">
        <f t="shared" ca="1" si="0"/>
        <v>6359839</v>
      </c>
      <c r="N8" s="22">
        <f t="shared" ca="1" si="0"/>
        <v>3438104.92</v>
      </c>
      <c r="O8" s="22">
        <f t="shared" ref="O8:O16" ca="1" si="1">IF(L8&gt;0,N8*100/L8,0)</f>
        <v>47.672426932241216</v>
      </c>
      <c r="P8" s="22">
        <f t="shared" ref="P8:P16" ca="1" si="2">IF(M8&gt;0,N8*100/M8,0)</f>
        <v>54.059621949549353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7211936</v>
      </c>
      <c r="M10" s="30">
        <f t="shared" ca="1" si="3"/>
        <v>6359839</v>
      </c>
      <c r="N10" s="30">
        <f t="shared" ca="1" si="3"/>
        <v>3438104.92</v>
      </c>
      <c r="O10" s="30">
        <f t="shared" ca="1" si="1"/>
        <v>47.672426932241216</v>
      </c>
      <c r="P10" s="30">
        <f t="shared" ca="1" si="2"/>
        <v>54.059621949549353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7060336</v>
      </c>
      <c r="M11" s="497">
        <f t="shared" ca="1" si="4"/>
        <v>6208239</v>
      </c>
      <c r="N11" s="497">
        <f t="shared" ca="1" si="4"/>
        <v>3286504.92</v>
      </c>
      <c r="O11" s="497">
        <f t="shared" ca="1" si="1"/>
        <v>46.548845833965977</v>
      </c>
      <c r="P11" s="497">
        <f t="shared" ca="1" si="2"/>
        <v>52.937796370275052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7060336</v>
      </c>
      <c r="M13" s="93">
        <f t="shared" ca="1" si="5"/>
        <v>6208239</v>
      </c>
      <c r="N13" s="93">
        <f t="shared" ca="1" si="5"/>
        <v>3286504.92</v>
      </c>
      <c r="O13" s="93">
        <f t="shared" ca="1" si="1"/>
        <v>46.548845833965977</v>
      </c>
      <c r="P13" s="93">
        <f t="shared" ca="1" si="2"/>
        <v>52.937796370275052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4817772</v>
      </c>
      <c r="M18" s="22">
        <f t="shared" ca="1" si="8"/>
        <v>3965675</v>
      </c>
      <c r="N18" s="22">
        <f t="shared" ca="1" si="8"/>
        <v>2592486.92</v>
      </c>
      <c r="O18" s="22">
        <f t="shared" ref="O18:O26" ca="1" si="9">IF(L18&gt;0,N18*100/L18,0)</f>
        <v>53.810909275075701</v>
      </c>
      <c r="P18" s="22">
        <f t="shared" ref="P18:P26" ca="1" si="10">IF(M18&gt;0,N18*100/M18,0)</f>
        <v>65.373156398343284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4817772</v>
      </c>
      <c r="M20" s="30">
        <f t="shared" ca="1" si="11"/>
        <v>3965675</v>
      </c>
      <c r="N20" s="30">
        <f t="shared" ca="1" si="11"/>
        <v>2592486.92</v>
      </c>
      <c r="O20" s="30">
        <f t="shared" ca="1" si="9"/>
        <v>53.810909275075701</v>
      </c>
      <c r="P20" s="30">
        <f t="shared" ca="1" si="10"/>
        <v>65.373156398343284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4666172</v>
      </c>
      <c r="M21" s="497">
        <f t="shared" ca="1" si="12"/>
        <v>3814075</v>
      </c>
      <c r="N21" s="497">
        <f t="shared" ca="1" si="12"/>
        <v>2440886.92</v>
      </c>
      <c r="O21" s="497">
        <f t="shared" ca="1" si="9"/>
        <v>52.310264602333561</v>
      </c>
      <c r="P21" s="497">
        <f t="shared" ca="1" si="10"/>
        <v>63.996825442604042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4666172</v>
      </c>
      <c r="M23" s="93">
        <f t="shared" ca="1" si="13"/>
        <v>3814075</v>
      </c>
      <c r="N23" s="93">
        <f t="shared" ca="1" si="13"/>
        <v>2440886.92</v>
      </c>
      <c r="O23" s="93">
        <f t="shared" ca="1" si="9"/>
        <v>52.310264602333561</v>
      </c>
      <c r="P23" s="93">
        <f t="shared" ca="1" si="10"/>
        <v>63.996825442604042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2394164</v>
      </c>
      <c r="M28" s="22">
        <f t="shared" ca="1" si="16"/>
        <v>2394164</v>
      </c>
      <c r="N28" s="22">
        <f t="shared" si="16"/>
        <v>845618</v>
      </c>
      <c r="O28" s="22">
        <f t="shared" ref="O28:O37" ca="1" si="17">IF(L28&gt;0,N28*100/L28,0)</f>
        <v>35.319969726384656</v>
      </c>
      <c r="P28" s="22">
        <f t="shared" ref="P28:P37" ca="1" si="18">IF(M28&gt;0,N28*100/M28,0)</f>
        <v>35.319969726384656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2394164</v>
      </c>
      <c r="M30" s="30">
        <f t="shared" ca="1" si="19"/>
        <v>2394164</v>
      </c>
      <c r="N30" s="30">
        <f t="shared" si="19"/>
        <v>845618</v>
      </c>
      <c r="O30" s="30">
        <f t="shared" ca="1" si="17"/>
        <v>35.319969726384656</v>
      </c>
      <c r="P30" s="30">
        <f t="shared" ca="1" si="18"/>
        <v>35.319969726384656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2394164</v>
      </c>
      <c r="M31" s="497">
        <f t="shared" ca="1" si="20"/>
        <v>2394164</v>
      </c>
      <c r="N31" s="497">
        <f t="shared" si="20"/>
        <v>845618</v>
      </c>
      <c r="O31" s="497">
        <f t="shared" ca="1" si="17"/>
        <v>35.319969726384656</v>
      </c>
      <c r="P31" s="497">
        <f t="shared" ca="1" si="18"/>
        <v>35.319969726384656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2394164</v>
      </c>
      <c r="M33" s="93">
        <f t="shared" ca="1" si="21"/>
        <v>2394164</v>
      </c>
      <c r="N33" s="93">
        <f t="shared" si="21"/>
        <v>845618</v>
      </c>
      <c r="O33" s="93">
        <f t="shared" ca="1" si="17"/>
        <v>35.319969726384656</v>
      </c>
      <c r="P33" s="93">
        <f t="shared" ca="1" si="18"/>
        <v>35.319969726384656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4817772</v>
      </c>
      <c r="M37" s="870">
        <f t="shared" ca="1" si="24"/>
        <v>3965675</v>
      </c>
      <c r="N37" s="870">
        <f t="shared" ca="1" si="24"/>
        <v>2592486.92</v>
      </c>
      <c r="O37" s="870">
        <f t="shared" ca="1" si="17"/>
        <v>53.810909275075701</v>
      </c>
      <c r="P37" s="870">
        <f t="shared" ca="1" si="18"/>
        <v>65.373156398343284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882742</v>
      </c>
      <c r="M41" s="85">
        <f t="shared" ca="1" si="25"/>
        <v>897305</v>
      </c>
      <c r="N41" s="85">
        <f t="shared" ca="1" si="25"/>
        <v>547615.71</v>
      </c>
      <c r="O41" s="85">
        <f t="shared" ref="O41:O49" ca="1" si="26">IF(L41&gt;0,N41*100/L41,0)</f>
        <v>62.035760165484369</v>
      </c>
      <c r="P41" s="85">
        <f t="shared" ref="P41:P49" ca="1" si="27">IF(M41&gt;0,N41*100/M41,0)</f>
        <v>61.028937763636669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882742</v>
      </c>
      <c r="M43" s="92">
        <f t="shared" ca="1" si="28"/>
        <v>897305</v>
      </c>
      <c r="N43" s="92">
        <f t="shared" ca="1" si="28"/>
        <v>547615.71</v>
      </c>
      <c r="O43" s="92">
        <f t="shared" ca="1" si="26"/>
        <v>62.035760165484369</v>
      </c>
      <c r="P43" s="92">
        <f t="shared" ca="1" si="27"/>
        <v>61.028937763636669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882742</v>
      </c>
      <c r="M44" s="497">
        <f t="shared" ca="1" si="29"/>
        <v>897305</v>
      </c>
      <c r="N44" s="497">
        <f t="shared" ca="1" si="29"/>
        <v>547615.71</v>
      </c>
      <c r="O44" s="497">
        <f t="shared" ca="1" si="26"/>
        <v>62.035760165484369</v>
      </c>
      <c r="P44" s="497">
        <f t="shared" ca="1" si="27"/>
        <v>61.028937763636669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IFERROR(__xludf.DUMMYFUNCTION("IMPORTRANGE(""https://docs.google.com/spreadsheets/d/1MeEWN-I1oV_STSDYn1IFDPWt_1FKiwhDph83XaGc0o0/edit?usp=sharing"",""งบพรบ!M34"")"),882742)</f>
        <v>882742</v>
      </c>
      <c r="M46" s="93">
        <f ca="1">IFERROR(__xludf.DUMMYFUNCTION("IMPORTRANGE(""https://docs.google.com/spreadsheets/d/1MeEWN-I1oV_STSDYn1IFDPWt_1FKiwhDph83XaGc0o0/edit?usp=sharing"",""งบพรบ!R34"")"),897305)</f>
        <v>897305</v>
      </c>
      <c r="N46" s="93">
        <f ca="1">IFERROR(__xludf.DUMMYFUNCTION("IMPORTRANGE(""https://docs.google.com/spreadsheets/d/1MeEWN-I1oV_STSDYn1IFDPWt_1FKiwhDph83XaGc0o0/edit?usp=sharing"",""งบพรบ!T34"")"),547615.71)</f>
        <v>547615.71</v>
      </c>
      <c r="O46" s="93">
        <f t="shared" ca="1" si="26"/>
        <v>62.035760165484369</v>
      </c>
      <c r="P46" s="93">
        <f t="shared" ca="1" si="27"/>
        <v>61.028937763636669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IFERROR(__xludf.DUMMYFUNCTION("IMPORTRANGE(""https://docs.google.com/spreadsheets/d/1MeEWN-I1oV_STSDYn1IFDPWt_1FKiwhDph83XaGc0o0/edit?usp=sharing"",""งบพรบ!P34"")"),0)</f>
        <v>0</v>
      </c>
      <c r="M49" s="52">
        <f ca="1">IFERROR(__xludf.DUMMYFUNCTION("IMPORTRANGE(""https://docs.google.com/spreadsheets/d/1MeEWN-I1oV_STSDYn1IFDPWt_1FKiwhDph83XaGc0o0/edit?usp=sharing"",""งบพรบ!S34"")"),0)</f>
        <v>0</v>
      </c>
      <c r="N49" s="52">
        <f ca="1">IFERROR(__xludf.DUMMYFUNCTION("IMPORTRANGE(""https://docs.google.com/spreadsheets/d/1MeEWN-I1oV_STSDYn1IFDPWt_1FKiwhDph83XaGc0o0/edit?usp=sharing"",""งบพรบ!U34"")"),0)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991600</v>
      </c>
      <c r="M53" s="116">
        <f t="shared" ca="1" si="31"/>
        <v>743700</v>
      </c>
      <c r="N53" s="116">
        <f t="shared" ca="1" si="31"/>
        <v>655020.91</v>
      </c>
      <c r="O53" s="116">
        <f t="shared" ref="O53:O61" ca="1" si="32">IF(L53&gt;0,N53*100/L53,0)</f>
        <v>66.056969544171039</v>
      </c>
      <c r="P53" s="116">
        <f t="shared" ref="P53:P61" ca="1" si="33">IF(M53&gt;0,N53*100/M53,0)</f>
        <v>88.075959392228043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991600</v>
      </c>
      <c r="M55" s="123">
        <f t="shared" ca="1" si="34"/>
        <v>743700</v>
      </c>
      <c r="N55" s="123">
        <f t="shared" ca="1" si="34"/>
        <v>655020.91</v>
      </c>
      <c r="O55" s="123">
        <f t="shared" ca="1" si="32"/>
        <v>66.056969544171039</v>
      </c>
      <c r="P55" s="123">
        <f t="shared" ca="1" si="33"/>
        <v>88.075959392228043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991600</v>
      </c>
      <c r="M56" s="497">
        <f t="shared" ca="1" si="35"/>
        <v>743700</v>
      </c>
      <c r="N56" s="497">
        <f t="shared" ca="1" si="35"/>
        <v>655020.91</v>
      </c>
      <c r="O56" s="497">
        <f t="shared" ca="1" si="32"/>
        <v>66.056969544171039</v>
      </c>
      <c r="P56" s="497">
        <f t="shared" ca="1" si="33"/>
        <v>88.075959392228043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IFERROR(__xludf.DUMMYFUNCTION("IMPORTRANGE(""https://docs.google.com/spreadsheets/d/1MeEWN-I1oV_STSDYn1IFDPWt_1FKiwhDph83XaGc0o0/edit?usp=sharing"",""งบพรบ!W34"")"),991600)</f>
        <v>991600</v>
      </c>
      <c r="M58" s="93">
        <f ca="1">IFERROR(__xludf.DUMMYFUNCTION("IMPORTRANGE(""https://docs.google.com/spreadsheets/d/1MeEWN-I1oV_STSDYn1IFDPWt_1FKiwhDph83XaGc0o0/edit?usp=sharing"",""งบพรบ!AB34"")"),743700)</f>
        <v>743700</v>
      </c>
      <c r="N58" s="93">
        <f ca="1">IFERROR(__xludf.DUMMYFUNCTION("IMPORTRANGE(""https://docs.google.com/spreadsheets/d/1MeEWN-I1oV_STSDYn1IFDPWt_1FKiwhDph83XaGc0o0/edit?usp=sharing"",""งบพรบ!AD34"")"),655020.91)</f>
        <v>655020.91</v>
      </c>
      <c r="O58" s="93">
        <f t="shared" ca="1" si="32"/>
        <v>66.056969544171039</v>
      </c>
      <c r="P58" s="93">
        <f t="shared" ca="1" si="33"/>
        <v>88.075959392228043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IFERROR(__xludf.DUMMYFUNCTION("IMPORTRANGE(""https://docs.google.com/spreadsheets/d/1MeEWN-I1oV_STSDYn1IFDPWt_1FKiwhDph83XaGc0o0/edit?usp=sharing"",""งบพรบ!Z34"")"),0)</f>
        <v>0</v>
      </c>
      <c r="M61" s="52">
        <f ca="1">IFERROR(__xludf.DUMMYFUNCTION("IMPORTRANGE(""https://docs.google.com/spreadsheets/d/1MeEWN-I1oV_STSDYn1IFDPWt_1FKiwhDph83XaGc0o0/edit?usp=sharing"",""งบพรบ!AC34"")"),0)</f>
        <v>0</v>
      </c>
      <c r="N61" s="52">
        <f ca="1">IFERROR(__xludf.DUMMYFUNCTION("IMPORTRANGE(""https://docs.google.com/spreadsheets/d/1MeEWN-I1oV_STSDYn1IFDPWt_1FKiwhDph83XaGc0o0/edit?usp=sharing"",""งบพรบ!AE34"")"),0)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IFERROR(__xludf.DUMMYFUNCTION("IMPORTRANGE(""https://docs.google.com/spreadsheets/d/1MeEWN-I1oV_STSDYn1IFDPWt_1FKiwhDph83XaGc0o0/edit?usp=sharing"",""งบพรบ!AG34"")"),0)</f>
        <v>0</v>
      </c>
      <c r="M71" s="93">
        <f ca="1">IFERROR(__xludf.DUMMYFUNCTION("IMPORTRANGE(""https://docs.google.com/spreadsheets/d/1MeEWN-I1oV_STSDYn1IFDPWt_1FKiwhDph83XaGc0o0/edit?usp=sharing"",""งบพรบ!AL34"")"),0)</f>
        <v>0</v>
      </c>
      <c r="N71" s="93">
        <f ca="1">IFERROR(__xludf.DUMMYFUNCTION("IMPORTRANGE(""https://docs.google.com/spreadsheets/d/1MeEWN-I1oV_STSDYn1IFDPWt_1FKiwhDph83XaGc0o0/edit?usp=sharing"",""งบพรบ!AN34"")"),0)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IFERROR(__xludf.DUMMYFUNCTION("IMPORTRANGE(""https://docs.google.com/spreadsheets/d/1MeEWN-I1oV_STSDYn1IFDPWt_1FKiwhDph83XaGc0o0/edit?usp=sharing"",""งบพรบ!AJ34"")"),0)</f>
        <v>0</v>
      </c>
      <c r="M74" s="93">
        <f ca="1">IFERROR(__xludf.DUMMYFUNCTION("IMPORTRANGE(""https://docs.google.com/spreadsheets/d/1MeEWN-I1oV_STSDYn1IFDPWt_1FKiwhDph83XaGc0o0/edit?usp=sharing"",""งบพรบ!AM34"")"),0)</f>
        <v>0</v>
      </c>
      <c r="N74" s="93">
        <f ca="1">IFERROR(__xludf.DUMMYFUNCTION("IMPORTRANGE(""https://docs.google.com/spreadsheets/d/1MeEWN-I1oV_STSDYn1IFDPWt_1FKiwhDph83XaGc0o0/edit?usp=sharing"",""งบพรบ!AO34"")"),0)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20373</v>
      </c>
      <c r="O88" s="155">
        <f t="shared" ref="O88:O96" ca="1" si="50">IF(L88&gt;0,N88*100/L88,0)</f>
        <v>65.29807692307692</v>
      </c>
      <c r="P88" s="155">
        <f t="shared" ref="P88:P96" ca="1" si="51">IF(M88&gt;0,N88*100/M88,0)</f>
        <v>69.413969335604776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20373</v>
      </c>
      <c r="O90" s="93">
        <f t="shared" ca="1" si="50"/>
        <v>65.29807692307692</v>
      </c>
      <c r="P90" s="93">
        <f t="shared" ca="1" si="51"/>
        <v>69.413969335604776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20373</v>
      </c>
      <c r="O91" s="497">
        <f t="shared" ca="1" si="50"/>
        <v>65.29807692307692</v>
      </c>
      <c r="P91" s="497">
        <f t="shared" ca="1" si="51"/>
        <v>69.413969335604776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IFERROR(__xludf.DUMMYFUNCTION("IMPORTRANGE(""https://docs.google.com/spreadsheets/d/1MeEWN-I1oV_STSDYn1IFDPWt_1FKiwhDph83XaGc0o0/edit?usp=sharing"",""งบพรบ!AQ34"")"),31200)</f>
        <v>31200</v>
      </c>
      <c r="M93" s="93">
        <f ca="1">IFERROR(__xludf.DUMMYFUNCTION("IMPORTRANGE(""https://docs.google.com/spreadsheets/d/1MeEWN-I1oV_STSDYn1IFDPWt_1FKiwhDph83XaGc0o0/edit?usp=sharing"",""งบพรบ!AV34"")"),29350)</f>
        <v>29350</v>
      </c>
      <c r="N93" s="93">
        <f ca="1">IFERROR(__xludf.DUMMYFUNCTION("IMPORTRANGE(""https://docs.google.com/spreadsheets/d/1MeEWN-I1oV_STSDYn1IFDPWt_1FKiwhDph83XaGc0o0/edit?usp=sharing"",""งบพรบ!AX34"")"),20373)</f>
        <v>20373</v>
      </c>
      <c r="O93" s="93">
        <f t="shared" ca="1" si="50"/>
        <v>65.29807692307692</v>
      </c>
      <c r="P93" s="93">
        <f t="shared" ca="1" si="51"/>
        <v>69.413969335604776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IFERROR(__xludf.DUMMYFUNCTION("IMPORTRANGE(""https://docs.google.com/spreadsheets/d/1MeEWN-I1oV_STSDYn1IFDPWt_1FKiwhDph83XaGc0o0/edit?usp=sharing"",""งบพรบ!AT34"")"),0)</f>
        <v>0</v>
      </c>
      <c r="M96" s="93">
        <f ca="1">IFERROR(__xludf.DUMMYFUNCTION("IMPORTRANGE(""https://docs.google.com/spreadsheets/d/1MeEWN-I1oV_STSDYn1IFDPWt_1FKiwhDph83XaGc0o0/edit?usp=sharing"",""งบพรบ!AW34"")"),0)</f>
        <v>0</v>
      </c>
      <c r="N96" s="93">
        <f ca="1">IFERROR(__xludf.DUMMYFUNCTION("IMPORTRANGE(""https://docs.google.com/spreadsheets/d/1MeEWN-I1oV_STSDYn1IFDPWt_1FKiwhDph83XaGc0o0/edit?usp=sharing"",""งบพรบ!AY34"")"),0)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IFERROR(__xludf.DUMMYFUNCTION("IMPORTRANGE(""https://docs.google.com/spreadsheets/d/1QqKyyYR6Q21VydFLVH3TRQUabQu_ym0Zz7PgGX0-kHA/edit?usp=sharing"",""แผน!R34"")"),0)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IFERROR(__xludf.DUMMYFUNCTION("IMPORTRANGE(""https://docs.google.com/spreadsheets/d/1MeEWN-I1oV_STSDYn1IFDPWt_1FKiwhDph83XaGc0o0/edit?usp=sharing"",""งบพรบ!BA34"")"),0)</f>
        <v>0</v>
      </c>
      <c r="M124" s="93">
        <f ca="1">IFERROR(__xludf.DUMMYFUNCTION("IMPORTRANGE(""https://docs.google.com/spreadsheets/d/1MeEWN-I1oV_STSDYn1IFDPWt_1FKiwhDph83XaGc0o0/edit?usp=sharing"",""งบพรบ!BF34"")"),0)</f>
        <v>0</v>
      </c>
      <c r="N124" s="93">
        <f ca="1">IFERROR(__xludf.DUMMYFUNCTION("IMPORTRANGE(""https://docs.google.com/spreadsheets/d/1MeEWN-I1oV_STSDYn1IFDPWt_1FKiwhDph83XaGc0o0/edit?usp=sharing"",""งบพรบ!BH34"")"),0)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IFERROR(__xludf.DUMMYFUNCTION("IMPORTRANGE(""https://docs.google.com/spreadsheets/d/1MeEWN-I1oV_STSDYn1IFDPWt_1FKiwhDph83XaGc0o0/edit?usp=sharing"",""งบพรบ!BD34"")"),0)</f>
        <v>0</v>
      </c>
      <c r="M127" s="93">
        <f ca="1">IFERROR(__xludf.DUMMYFUNCTION("IMPORTRANGE(""https://docs.google.com/spreadsheets/d/1MeEWN-I1oV_STSDYn1IFDPWt_1FKiwhDph83XaGc0o0/edit?usp=sharing"",""งบพรบ!BG34"")"),0)</f>
        <v>0</v>
      </c>
      <c r="N127" s="93">
        <f ca="1">IFERROR(__xludf.DUMMYFUNCTION("IMPORTRANGE(""https://docs.google.com/spreadsheets/d/1MeEWN-I1oV_STSDYn1IFDPWt_1FKiwhDph83XaGc0o0/edit?usp=sharing"",""งบพรบ!BI34"")"),0)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IFERROR(__xludf.DUMMYFUNCTION("IMPORTRANGE(""https://docs.google.com/spreadsheets/d/1MeEWN-I1oV_STSDYn1IFDPWt_1FKiwhDph83XaGc0o0/edit?usp=sharing"",""งบพรบ!BK34"")"),0)</f>
        <v>0</v>
      </c>
      <c r="M137" s="93">
        <f ca="1">IFERROR(__xludf.DUMMYFUNCTION("IMPORTRANGE(""https://docs.google.com/spreadsheets/d/1MeEWN-I1oV_STSDYn1IFDPWt_1FKiwhDph83XaGc0o0/edit?usp=sharing"",""งบพรบ!BP34"")"),0)</f>
        <v>0</v>
      </c>
      <c r="N137" s="93">
        <f ca="1">IFERROR(__xludf.DUMMYFUNCTION("IMPORTRANGE(""https://docs.google.com/spreadsheets/d/1MeEWN-I1oV_STSDYn1IFDPWt_1FKiwhDph83XaGc0o0/edit?usp=sharing"",""งบพรบ!BR34"")"),0)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IFERROR(__xludf.DUMMYFUNCTION("IMPORTRANGE(""https://docs.google.com/spreadsheets/d/1MeEWN-I1oV_STSDYn1IFDPWt_1FKiwhDph83XaGc0o0/edit?usp=sharing"",""งบพรบ!BN34"")"),0)</f>
        <v>0</v>
      </c>
      <c r="M140" s="93">
        <f ca="1">IFERROR(__xludf.DUMMYFUNCTION("IMPORTRANGE(""https://docs.google.com/spreadsheets/d/1MeEWN-I1oV_STSDYn1IFDPWt_1FKiwhDph83XaGc0o0/edit?usp=sharing"",""งบพรบ!BQ34"")"),0)</f>
        <v>0</v>
      </c>
      <c r="N140" s="93">
        <f ca="1">IFERROR(__xludf.DUMMYFUNCTION("IMPORTRANGE(""https://docs.google.com/spreadsheets/d/1MeEWN-I1oV_STSDYn1IFDPWt_1FKiwhDph83XaGc0o0/edit?usp=sharing"",""งบพรบ!BS34"")"),0)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6720</v>
      </c>
      <c r="N149" s="155">
        <f t="shared" ca="1" si="77"/>
        <v>4208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62.61904761904762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6720</v>
      </c>
      <c r="N151" s="93">
        <f t="shared" ca="1" si="80"/>
        <v>4208</v>
      </c>
      <c r="O151" s="93">
        <f t="shared" ca="1" si="78"/>
        <v>0</v>
      </c>
      <c r="P151" s="93">
        <f t="shared" ca="1" si="79"/>
        <v>62.61904761904762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6720</v>
      </c>
      <c r="N152" s="497">
        <f t="shared" ca="1" si="81"/>
        <v>4208</v>
      </c>
      <c r="O152" s="497">
        <f t="shared" ca="1" si="78"/>
        <v>0</v>
      </c>
      <c r="P152" s="497">
        <f t="shared" ca="1" si="79"/>
        <v>62.61904761904762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IFERROR(__xludf.DUMMYFUNCTION("IMPORTRANGE(""https://docs.google.com/spreadsheets/d/1MeEWN-I1oV_STSDYn1IFDPWt_1FKiwhDph83XaGc0o0/edit?usp=sharing"",""งบพรบ!BU34"")"),0)</f>
        <v>0</v>
      </c>
      <c r="M154" s="93">
        <f ca="1">IFERROR(__xludf.DUMMYFUNCTION("IMPORTRANGE(""https://docs.google.com/spreadsheets/d/1MeEWN-I1oV_STSDYn1IFDPWt_1FKiwhDph83XaGc0o0/edit?usp=sharing"",""งบพรบ!BZ34"")"),6720)</f>
        <v>6720</v>
      </c>
      <c r="N154" s="93">
        <f ca="1">IFERROR(__xludf.DUMMYFUNCTION("IMPORTRANGE(""https://docs.google.com/spreadsheets/d/1MeEWN-I1oV_STSDYn1IFDPWt_1FKiwhDph83XaGc0o0/edit?usp=sharing"",""งบพรบ!CB34"")"),4208)</f>
        <v>4208</v>
      </c>
      <c r="O154" s="93">
        <f t="shared" ca="1" si="78"/>
        <v>0</v>
      </c>
      <c r="P154" s="93">
        <f t="shared" ca="1" si="79"/>
        <v>62.61904761904762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IFERROR(__xludf.DUMMYFUNCTION("IMPORTRANGE(""https://docs.google.com/spreadsheets/d/1MeEWN-I1oV_STSDYn1IFDPWt_1FKiwhDph83XaGc0o0/edit?usp=sharing"",""งบพรบ!BX34"")"),0)</f>
        <v>0</v>
      </c>
      <c r="M157" s="93">
        <f ca="1">IFERROR(__xludf.DUMMYFUNCTION("IMPORTRANGE(""https://docs.google.com/spreadsheets/d/1MeEWN-I1oV_STSDYn1IFDPWt_1FKiwhDph83XaGc0o0/edit?usp=sharing"",""งบพรบ!CA34"")"),0)</f>
        <v>0</v>
      </c>
      <c r="N157" s="93">
        <f ca="1">IFERROR(__xludf.DUMMYFUNCTION("IMPORTRANGE(""https://docs.google.com/spreadsheets/d/1MeEWN-I1oV_STSDYn1IFDPWt_1FKiwhDph83XaGc0o0/edit?usp=sharing"",""งบพรบ!CC34"")"),0)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32620</v>
      </c>
      <c r="N165" s="155">
        <f t="shared" ca="1" si="84"/>
        <v>31720</v>
      </c>
      <c r="O165" s="155">
        <f t="shared" ref="O165:O173" ca="1" si="85">IF(L165&gt;0,N165*100/L165,0)</f>
        <v>150.68883610451306</v>
      </c>
      <c r="P165" s="155">
        <f t="shared" ref="P165:P173" ca="1" si="86">IF(M165&gt;0,N165*100/M165,0)</f>
        <v>97.240956468424287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32620</v>
      </c>
      <c r="N167" s="93">
        <f t="shared" ca="1" si="87"/>
        <v>31720</v>
      </c>
      <c r="O167" s="93">
        <f t="shared" ca="1" si="85"/>
        <v>150.68883610451306</v>
      </c>
      <c r="P167" s="93">
        <f t="shared" ca="1" si="86"/>
        <v>97.240956468424287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32620</v>
      </c>
      <c r="N168" s="497">
        <f t="shared" ca="1" si="88"/>
        <v>31720</v>
      </c>
      <c r="O168" s="497">
        <f t="shared" ca="1" si="85"/>
        <v>150.68883610451306</v>
      </c>
      <c r="P168" s="497">
        <f t="shared" ca="1" si="86"/>
        <v>97.240956468424287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IFERROR(__xludf.DUMMYFUNCTION("IMPORTRANGE(""https://docs.google.com/spreadsheets/d/1MeEWN-I1oV_STSDYn1IFDPWt_1FKiwhDph83XaGc0o0/edit?usp=sharing"",""งบพรบ!CE34"")"),21050)</f>
        <v>21050</v>
      </c>
      <c r="M170" s="93">
        <f ca="1">IFERROR(__xludf.DUMMYFUNCTION("IMPORTRANGE(""https://docs.google.com/spreadsheets/d/1MeEWN-I1oV_STSDYn1IFDPWt_1FKiwhDph83XaGc0o0/edit?usp=sharing"",""งบพรบ!CJ34"")"),32620)</f>
        <v>32620</v>
      </c>
      <c r="N170" s="93">
        <f ca="1">IFERROR(__xludf.DUMMYFUNCTION("IMPORTRANGE(""https://docs.google.com/spreadsheets/d/1MeEWN-I1oV_STSDYn1IFDPWt_1FKiwhDph83XaGc0o0/edit?usp=sharing"",""งบพรบ!CL34"")"),31720)</f>
        <v>31720</v>
      </c>
      <c r="O170" s="93">
        <f t="shared" ca="1" si="85"/>
        <v>150.68883610451306</v>
      </c>
      <c r="P170" s="93">
        <f t="shared" ca="1" si="86"/>
        <v>97.240956468424287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IFERROR(__xludf.DUMMYFUNCTION("IMPORTRANGE(""https://docs.google.com/spreadsheets/d/1MeEWN-I1oV_STSDYn1IFDPWt_1FKiwhDph83XaGc0o0/edit?usp=sharing"",""งบพรบ!CH34"")"),0)</f>
        <v>0</v>
      </c>
      <c r="M173" s="93">
        <f ca="1">IFERROR(__xludf.DUMMYFUNCTION("IMPORTRANGE(""https://docs.google.com/spreadsheets/d/1MeEWN-I1oV_STSDYn1IFDPWt_1FKiwhDph83XaGc0o0/edit?usp=sharing"",""งบพรบ!CK34"")"),0)</f>
        <v>0</v>
      </c>
      <c r="N173" s="93">
        <f ca="1">IFERROR(__xludf.DUMMYFUNCTION("IMPORTRANGE(""https://docs.google.com/spreadsheets/d/1MeEWN-I1oV_STSDYn1IFDPWt_1FKiwhDph83XaGc0o0/edit?usp=sharing"",""งบพรบ!CM34"")"),0)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362500</v>
      </c>
      <c r="M181" s="155">
        <f t="shared" ca="1" si="92"/>
        <v>269500</v>
      </c>
      <c r="N181" s="155">
        <f t="shared" ca="1" si="92"/>
        <v>143477</v>
      </c>
      <c r="O181" s="155">
        <f t="shared" ref="O181:O189" ca="1" si="93">IF(L181&gt;0,N181*100/L181,0)</f>
        <v>39.579862068965518</v>
      </c>
      <c r="P181" s="155">
        <f t="shared" ref="P181:P189" ca="1" si="94">IF(M181&gt;0,N181*100/M181,0)</f>
        <v>53.238218923933211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362500</v>
      </c>
      <c r="M183" s="93">
        <f t="shared" ca="1" si="95"/>
        <v>269500</v>
      </c>
      <c r="N183" s="93">
        <f t="shared" ca="1" si="95"/>
        <v>143477</v>
      </c>
      <c r="O183" s="93">
        <f t="shared" ca="1" si="93"/>
        <v>39.579862068965518</v>
      </c>
      <c r="P183" s="93">
        <f t="shared" ca="1" si="94"/>
        <v>53.238218923933211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362500</v>
      </c>
      <c r="M184" s="497">
        <f t="shared" ca="1" si="96"/>
        <v>269500</v>
      </c>
      <c r="N184" s="497">
        <f t="shared" ca="1" si="96"/>
        <v>143477</v>
      </c>
      <c r="O184" s="497">
        <f t="shared" ca="1" si="93"/>
        <v>39.579862068965518</v>
      </c>
      <c r="P184" s="497">
        <f t="shared" ca="1" si="94"/>
        <v>53.238218923933211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IFERROR(__xludf.DUMMYFUNCTION("IMPORTRANGE(""https://docs.google.com/spreadsheets/d/1MeEWN-I1oV_STSDYn1IFDPWt_1FKiwhDph83XaGc0o0/edit?usp=sharing"",""งบพรบ!CO34"")"),362500)</f>
        <v>362500</v>
      </c>
      <c r="M186" s="93">
        <f ca="1">IFERROR(__xludf.DUMMYFUNCTION("IMPORTRANGE(""https://docs.google.com/spreadsheets/d/1MeEWN-I1oV_STSDYn1IFDPWt_1FKiwhDph83XaGc0o0/edit?usp=sharing"",""งบพรบ!CT34"")"),269500)</f>
        <v>269500</v>
      </c>
      <c r="N186" s="93">
        <f ca="1">IFERROR(__xludf.DUMMYFUNCTION("IMPORTRANGE(""https://docs.google.com/spreadsheets/d/1MeEWN-I1oV_STSDYn1IFDPWt_1FKiwhDph83XaGc0o0/edit?usp=sharing"",""งบพรบ!CV34"")"),143477)</f>
        <v>143477</v>
      </c>
      <c r="O186" s="93">
        <f t="shared" ca="1" si="93"/>
        <v>39.579862068965518</v>
      </c>
      <c r="P186" s="93">
        <f t="shared" ca="1" si="94"/>
        <v>53.238218923933211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IFERROR(__xludf.DUMMYFUNCTION("IMPORTRANGE(""https://docs.google.com/spreadsheets/d/1MeEWN-I1oV_STSDYn1IFDPWt_1FKiwhDph83XaGc0o0/edit?usp=sharing"",""งบพรบ!CR34"")"),0)</f>
        <v>0</v>
      </c>
      <c r="M189" s="93">
        <f ca="1">IFERROR(__xludf.DUMMYFUNCTION("IMPORTRANGE(""https://docs.google.com/spreadsheets/d/1MeEWN-I1oV_STSDYn1IFDPWt_1FKiwhDph83XaGc0o0/edit?usp=sharing"",""งบพรบ!CU34"")"),0)</f>
        <v>0</v>
      </c>
      <c r="N189" s="93">
        <f ca="1">IFERROR(__xludf.DUMMYFUNCTION("IMPORTRANGE(""https://docs.google.com/spreadsheets/d/1MeEWN-I1oV_STSDYn1IFDPWt_1FKiwhDph83XaGc0o0/edit?usp=sharing"",""งบพรบ!CW34"")"),0)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IFERROR(__xludf.DUMMYFUNCTION("IMPORTRANGE(""https://docs.google.com/spreadsheets/d/1QqKyyYR6Q21VydFLVH3TRQUabQu_ym0Zz7PgGX0-kHA/edit?usp=sharing"",""แผน!Z34"")"),6000)</f>
        <v>6000</v>
      </c>
      <c r="M191" s="155"/>
      <c r="N191" s="276">
        <v>4760</v>
      </c>
      <c r="O191" s="155">
        <f ca="1">IF(L191&gt;0,N191*100/L191,0)</f>
        <v>79.333333333333329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21790</v>
      </c>
      <c r="O198" s="155">
        <f ca="1">IF(L198&gt;0,N198*100/L198,0)</f>
        <v>41.903846153846153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IFERROR(__xludf.DUMMYFUNCTION("IMPORTRANGE(""https://docs.google.com/spreadsheets/d/1QqKyyYR6Q21VydFLVH3TRQUabQu_ym0Zz7PgGX0-kHA/edit?usp=sharing"",""แผน!AE34"")"),4000)</f>
        <v>4000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IFERROR(__xludf.DUMMYFUNCTION("IMPORTRANGE(""https://docs.google.com/spreadsheets/d/1QqKyyYR6Q21VydFLVH3TRQUabQu_ym0Zz7PgGX0-kHA/edit?usp=sharing"",""แผน!AF34"")"),32000)</f>
        <v>32000</v>
      </c>
      <c r="M200" s="497"/>
      <c r="N200" s="838">
        <v>21790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IFERROR(__xludf.DUMMYFUNCTION("IMPORTRANGE(""https://docs.google.com/spreadsheets/d/1QqKyyYR6Q21VydFLVH3TRQUabQu_ym0Zz7PgGX0-kHA/edit?usp=sharing"",""แผน!AG34"")"),16000)</f>
        <v>16000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IFERROR(__xludf.DUMMYFUNCTION("IMPORTRANGE(""https://docs.google.com/spreadsheets/d/1QqKyyYR6Q21VydFLVH3TRQUabQu_ym0Zz7PgGX0-kHA/edit?usp=sharing"",""แผน!AK34"")"),0)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IFERROR(__xludf.DUMMYFUNCTION("IMPORTRANGE(""https://docs.google.com/spreadsheets/d/1QqKyyYR6Q21VydFLVH3TRQUabQu_ym0Zz7PgGX0-kHA/edit?usp=sharing"",""แผน!AL34"")"),0)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IFERROR(__xludf.DUMMYFUNCTION("IMPORTRANGE(""https://docs.google.com/spreadsheets/d/1QqKyyYR6Q21VydFLVH3TRQUabQu_ym0Zz7PgGX0-kHA/edit?usp=sharing"",""แผน!AM34"")"),0)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IFERROR(__xludf.DUMMYFUNCTION("IMPORTRANGE(""https://docs.google.com/spreadsheets/d/1QqKyyYR6Q21VydFLVH3TRQUabQu_ym0Zz7PgGX0-kHA/edit?usp=sharing"",""แผน!AN34"")"),0)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IFERROR(__xludf.DUMMYFUNCTION("IMPORTRANGE(""https://docs.google.com/spreadsheets/d/1QqKyyYR6Q21VydFLVH3TRQUabQu_ym0Zz7PgGX0-kHA/edit?usp=sharing"",""แผน!AN34"")"),0)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IFERROR(__xludf.DUMMYFUNCTION("IMPORTRANGE(""https://docs.google.com/spreadsheets/d/1QqKyyYR6Q21VydFLVH3TRQUabQu_ym0Zz7PgGX0-kHA/edit?usp=sharing"",""แผน!AP34"")"),5000)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IFERROR(__xludf.DUMMYFUNCTION("IMPORTRANGE(""https://docs.google.com/spreadsheets/d/1QqKyyYR6Q21VydFLVH3TRQUabQu_ym0Zz7PgGX0-kHA/edit?usp=sharing"",""แผน!AQ34"")"),13500)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IFERROR(__xludf.DUMMYFUNCTION("IMPORTRANGE(""https://docs.google.com/spreadsheets/d/1QqKyyYR6Q21VydFLVH3TRQUabQu_ym0Zz7PgGX0-kHA/edit?usp=sharing"",""แผน!AR34"")"),0)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IFERROR(__xludf.DUMMYFUNCTION("IMPORTRANGE(""https://docs.google.com/spreadsheets/d/1QqKyyYR6Q21VydFLVH3TRQUabQu_ym0Zz7PgGX0-kHA/edit?usp=sharing"",""แผน!AT34"")"),50000)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IFERROR(__xludf.DUMMYFUNCTION("IMPORTRANGE(""https://docs.google.com/spreadsheets/d/1MeEWN-I1oV_STSDYn1IFDPWt_1FKiwhDph83XaGc0o0/edit?usp=sharing"",""งบพรบ!CY34"")"),26900)</f>
        <v>26900</v>
      </c>
      <c r="M266" s="93">
        <f ca="1">IFERROR(__xludf.DUMMYFUNCTION("IMPORTRANGE(""https://docs.google.com/spreadsheets/d/1MeEWN-I1oV_STSDYn1IFDPWt_1FKiwhDph83XaGc0o0/edit?usp=sharing"",""งบพรบ!DD34"")"),23900)</f>
        <v>23900</v>
      </c>
      <c r="N266" s="93">
        <f ca="1">IFERROR(__xludf.DUMMYFUNCTION("IMPORTRANGE(""https://docs.google.com/spreadsheets/d/1MeEWN-I1oV_STSDYn1IFDPWt_1FKiwhDph83XaGc0o0/edit?usp=sharing"",""งบพรบ!DF34"")"),23900)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IFERROR(__xludf.DUMMYFUNCTION("IMPORTRANGE(""https://docs.google.com/spreadsheets/d/1MeEWN-I1oV_STSDYn1IFDPWt_1FKiwhDph83XaGc0o0/edit?usp=sharing"",""งบพรบ!DB34"")"),0)</f>
        <v>0</v>
      </c>
      <c r="M269" s="93">
        <f ca="1">IFERROR(__xludf.DUMMYFUNCTION("IMPORTRANGE(""https://docs.google.com/spreadsheets/d/1MeEWN-I1oV_STSDYn1IFDPWt_1FKiwhDph83XaGc0o0/edit?usp=sharing"",""งบพรบ!DE34"")"),0)</f>
        <v>0</v>
      </c>
      <c r="N269" s="93">
        <f ca="1">IFERROR(__xludf.DUMMYFUNCTION("IMPORTRANGE(""https://docs.google.com/spreadsheets/d/1MeEWN-I1oV_STSDYn1IFDPWt_1FKiwhDph83XaGc0o0/edit?usp=sharing"",""งบพรบ!DG34"")"),0)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70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700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413560</v>
      </c>
      <c r="M277" s="155">
        <f t="shared" ca="1" si="125"/>
        <v>373010</v>
      </c>
      <c r="N277" s="155">
        <f t="shared" ca="1" si="125"/>
        <v>97765</v>
      </c>
      <c r="O277" s="155">
        <f t="shared" ref="O277:O285" ca="1" si="126">IF(L277&gt;0,N277*100/L277,0)</f>
        <v>23.639858787116744</v>
      </c>
      <c r="P277" s="155">
        <f t="shared" ref="P277:P285" ca="1" si="127">IF(M277&gt;0,N277*100/M277,0)</f>
        <v>26.209753089729499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413560</v>
      </c>
      <c r="M279" s="93">
        <f t="shared" ca="1" si="128"/>
        <v>373010</v>
      </c>
      <c r="N279" s="93">
        <f t="shared" ca="1" si="128"/>
        <v>97765</v>
      </c>
      <c r="O279" s="93">
        <f t="shared" ca="1" si="126"/>
        <v>23.639858787116744</v>
      </c>
      <c r="P279" s="93">
        <f t="shared" ca="1" si="127"/>
        <v>26.209753089729499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413560</v>
      </c>
      <c r="M280" s="497">
        <f t="shared" ca="1" si="129"/>
        <v>373010</v>
      </c>
      <c r="N280" s="497">
        <f t="shared" ca="1" si="129"/>
        <v>97765</v>
      </c>
      <c r="O280" s="497">
        <f t="shared" ca="1" si="126"/>
        <v>23.639858787116744</v>
      </c>
      <c r="P280" s="497">
        <f t="shared" ca="1" si="127"/>
        <v>26.209753089729499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IFERROR(__xludf.DUMMYFUNCTION("IMPORTRANGE(""https://docs.google.com/spreadsheets/d/1MeEWN-I1oV_STSDYn1IFDPWt_1FKiwhDph83XaGc0o0/edit?usp=sharing"",""งบพรบ!DI34"")"),413560)</f>
        <v>413560</v>
      </c>
      <c r="M282" s="93">
        <f ca="1">IFERROR(__xludf.DUMMYFUNCTION("IMPORTRANGE(""https://docs.google.com/spreadsheets/d/1MeEWN-I1oV_STSDYn1IFDPWt_1FKiwhDph83XaGc0o0/edit?usp=sharing"",""งบพรบ!DN34"")"),373010)</f>
        <v>373010</v>
      </c>
      <c r="N282" s="93">
        <f ca="1">IFERROR(__xludf.DUMMYFUNCTION("IMPORTRANGE(""https://docs.google.com/spreadsheets/d/1MeEWN-I1oV_STSDYn1IFDPWt_1FKiwhDph83XaGc0o0/edit?usp=sharing"",""งบพรบ!DP34"")"),97765)</f>
        <v>97765</v>
      </c>
      <c r="O282" s="93">
        <f t="shared" ca="1" si="126"/>
        <v>23.639858787116744</v>
      </c>
      <c r="P282" s="93">
        <f t="shared" ca="1" si="127"/>
        <v>26.209753089729499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IFERROR(__xludf.DUMMYFUNCTION("IMPORTRANGE(""https://docs.google.com/spreadsheets/d/1MeEWN-I1oV_STSDYn1IFDPWt_1FKiwhDph83XaGc0o0/edit?usp=sharing"",""งบพรบ!DL34"")"),0)</f>
        <v>0</v>
      </c>
      <c r="M285" s="93">
        <f ca="1">IFERROR(__xludf.DUMMYFUNCTION("IMPORTRANGE(""https://docs.google.com/spreadsheets/d/1MeEWN-I1oV_STSDYn1IFDPWt_1FKiwhDph83XaGc0o0/edit?usp=sharing"",""งบพรบ!DO34"")"),0)</f>
        <v>0</v>
      </c>
      <c r="N285" s="93">
        <f ca="1">IFERROR(__xludf.DUMMYFUNCTION("IMPORTRANGE(""https://docs.google.com/spreadsheets/d/1MeEWN-I1oV_STSDYn1IFDPWt_1FKiwhDph83XaGc0o0/edit?usp=sharing"",""งบพรบ!DQ34"")"),0)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IFERROR(__xludf.DUMMYFUNCTION("IMPORTRANGE(""https://docs.google.com/spreadsheets/d/1QqKyyYR6Q21VydFLVH3TRQUabQu_ym0Zz7PgGX0-kHA/edit?usp=sharing"",""แผน!EC34"")"),700)</f>
        <v>700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IFERROR(__xludf.DUMMYFUNCTION("IMPORTRANGE(""https://docs.google.com/spreadsheets/d/1QqKyyYR6Q21VydFLVH3TRQUabQu_ym0Zz7PgGX0-kHA/edit?usp=sharing"",""แผน!EB34"")"),70)</f>
        <v>70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IFERROR(__xludf.DUMMYFUNCTION("IMPORTRANGE(""https://docs.google.com/spreadsheets/d/1QqKyyYR6Q21VydFLVH3TRQUabQu_ym0Zz7PgGX0-kHA/edit?usp=sharing"",""แผน!EB34"")"),70)</f>
        <v>70</v>
      </c>
      <c r="J290" s="215">
        <v>70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IFERROR(__xludf.DUMMYFUNCTION("IMPORTRANGE(""https://docs.google.com/spreadsheets/d/1QqKyyYR6Q21VydFLVH3TRQUabQu_ym0Zz7PgGX0-kHA/edit?usp=sharing"",""แผน!EB34"")"),70)</f>
        <v>70</v>
      </c>
      <c r="J291" s="215">
        <v>70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IFERROR(__xludf.DUMMYFUNCTION("IMPORTRANGE(""https://docs.google.com/spreadsheets/d/1QqKyyYR6Q21VydFLVH3TRQUabQu_ym0Zz7PgGX0-kHA/edit?usp=sharing"",""แผน!EB34"")"),70)</f>
        <v>70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IFERROR(__xludf.DUMMYFUNCTION("IMPORTRANGE(""https://docs.google.com/spreadsheets/d/1QqKyyYR6Q21VydFLVH3TRQUabQu_ym0Zz7PgGX0-kHA/edit?usp=sharing"",""แผน!EB34"")"),70)</f>
        <v>70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IFERROR(__xludf.DUMMYFUNCTION("IMPORTRANGE(""https://docs.google.com/spreadsheets/d/1MeEWN-I1oV_STSDYn1IFDPWt_1FKiwhDph83XaGc0o0/edit?usp=sharing"",""งบพรบ!DS34"")"),0)</f>
        <v>0</v>
      </c>
      <c r="M303" s="93">
        <f ca="1">IFERROR(__xludf.DUMMYFUNCTION("IMPORTRANGE(""https://docs.google.com/spreadsheets/d/1MeEWN-I1oV_STSDYn1IFDPWt_1FKiwhDph83XaGc0o0/edit?usp=sharing"",""งบพรบ!DX34"")"),0)</f>
        <v>0</v>
      </c>
      <c r="N303" s="93">
        <f ca="1">IFERROR(__xludf.DUMMYFUNCTION("IMPORTRANGE(""https://docs.google.com/spreadsheets/d/1MeEWN-I1oV_STSDYn1IFDPWt_1FKiwhDph83XaGc0o0/edit?usp=sharing"",""งบพรบ!DZ34"")"),0)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IFERROR(__xludf.DUMMYFUNCTION("IMPORTRANGE(""https://docs.google.com/spreadsheets/d/1MeEWN-I1oV_STSDYn1IFDPWt_1FKiwhDph83XaGc0o0/edit?usp=sharing"",""งบพรบ!DV34"")"),0)</f>
        <v>0</v>
      </c>
      <c r="M306" s="93">
        <f ca="1">IFERROR(__xludf.DUMMYFUNCTION("IMPORTRANGE(""https://docs.google.com/spreadsheets/d/1MeEWN-I1oV_STSDYn1IFDPWt_1FKiwhDph83XaGc0o0/edit?usp=sharing"",""งบพรบ!DY34"")"),0)</f>
        <v>0</v>
      </c>
      <c r="N306" s="93">
        <f ca="1">IFERROR(__xludf.DUMMYFUNCTION("IMPORTRANGE(""https://docs.google.com/spreadsheets/d/1MeEWN-I1oV_STSDYn1IFDPWt_1FKiwhDph83XaGc0o0/edit?usp=sharing"",""งบพรบ!EA34"")"),0)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IFERROR(__xludf.DUMMYFUNCTION("IMPORTRANGE(""https://docs.google.com/spreadsheets/d/1MeEWN-I1oV_STSDYn1IFDPWt_1FKiwhDph83XaGc0o0/edit?usp=sharing"",""งบพรบ!EC34"")"),0)</f>
        <v>0</v>
      </c>
      <c r="M320" s="93">
        <f ca="1">IFERROR(__xludf.DUMMYFUNCTION("IMPORTRANGE(""https://docs.google.com/spreadsheets/d/1MeEWN-I1oV_STSDYn1IFDPWt_1FKiwhDph83XaGc0o0/edit?usp=sharing"",""งบพรบ!EH34"")"),0)</f>
        <v>0</v>
      </c>
      <c r="N320" s="93">
        <f ca="1">IFERROR(__xludf.DUMMYFUNCTION("IMPORTRANGE(""https://docs.google.com/spreadsheets/d/1MeEWN-I1oV_STSDYn1IFDPWt_1FKiwhDph83XaGc0o0/edit?usp=sharing"",""งบพรบ!EJ34"")"),0)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IFERROR(__xludf.DUMMYFUNCTION("IMPORTRANGE(""https://docs.google.com/spreadsheets/d/1MeEWN-I1oV_STSDYn1IFDPWt_1FKiwhDph83XaGc0o0/edit?usp=sharing"",""งบพรบ!EF34"")"),0)</f>
        <v>0</v>
      </c>
      <c r="M323" s="93">
        <f ca="1">IFERROR(__xludf.DUMMYFUNCTION("IMPORTRANGE(""https://docs.google.com/spreadsheets/d/1MeEWN-I1oV_STSDYn1IFDPWt_1FKiwhDph83XaGc0o0/edit?usp=sharing"",""งบพรบ!EI34"")"),0)</f>
        <v>0</v>
      </c>
      <c r="N323" s="93">
        <f ca="1">IFERROR(__xludf.DUMMYFUNCTION("IMPORTRANGE(""https://docs.google.com/spreadsheets/d/1MeEWN-I1oV_STSDYn1IFDPWt_1FKiwhDph83XaGc0o0/edit?usp=sharing"",""งบพรบ!EK34"")"),0)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IFERROR(__xludf.DUMMYFUNCTION("IMPORTRANGE(""https://docs.google.com/spreadsheets/d/1QqKyyYR6Q21VydFLVH3TRQUabQu_ym0Zz7PgGX0-kHA/edit?usp=sharing"",""แผน!EG34"")"),3400)</f>
        <v>3400</v>
      </c>
      <c r="J327" s="444">
        <f ca="1">J338+J341+J342+J343</f>
        <v>4553</v>
      </c>
      <c r="K327" s="445">
        <f ca="1">IF(I327&gt;0,J327*100/I327,0)</f>
        <v>133.91176470588235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139750</v>
      </c>
      <c r="N328" s="155">
        <f t="shared" ca="1" si="149"/>
        <v>98644</v>
      </c>
      <c r="O328" s="155">
        <f t="shared" ref="O328:O336" ca="1" si="150">IF(L328&gt;0,N328*100/L328,0)</f>
        <v>53.903825136612021</v>
      </c>
      <c r="P328" s="155">
        <f t="shared" ref="P328:P336" ca="1" si="151">IF(M328&gt;0,N328*100/M328,0)</f>
        <v>70.586046511627913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139750</v>
      </c>
      <c r="N330" s="93">
        <f t="shared" ca="1" si="152"/>
        <v>98644</v>
      </c>
      <c r="O330" s="93">
        <f t="shared" ca="1" si="150"/>
        <v>53.903825136612021</v>
      </c>
      <c r="P330" s="93">
        <f t="shared" ca="1" si="151"/>
        <v>70.586046511627913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139750</v>
      </c>
      <c r="N331" s="497">
        <f t="shared" ca="1" si="153"/>
        <v>98644</v>
      </c>
      <c r="O331" s="497">
        <f t="shared" ca="1" si="150"/>
        <v>53.903825136612021</v>
      </c>
      <c r="P331" s="497">
        <f t="shared" ca="1" si="151"/>
        <v>70.586046511627913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IFERROR(__xludf.DUMMYFUNCTION("IMPORTRANGE(""https://docs.google.com/spreadsheets/d/1MeEWN-I1oV_STSDYn1IFDPWt_1FKiwhDph83XaGc0o0/edit?usp=sharing"",""งบพรบ!EM34"")"),183000)</f>
        <v>183000</v>
      </c>
      <c r="M333" s="93">
        <f ca="1">IFERROR(__xludf.DUMMYFUNCTION("IMPORTRANGE(""https://docs.google.com/spreadsheets/d/1MeEWN-I1oV_STSDYn1IFDPWt_1FKiwhDph83XaGc0o0/edit?usp=sharing"",""งบพรบ!ER34"")"),139750)</f>
        <v>139750</v>
      </c>
      <c r="N333" s="93">
        <f ca="1">IFERROR(__xludf.DUMMYFUNCTION("IMPORTRANGE(""https://docs.google.com/spreadsheets/d/1MeEWN-I1oV_STSDYn1IFDPWt_1FKiwhDph83XaGc0o0/edit?usp=sharing"",""งบพรบ!ET34"")"),98644)</f>
        <v>98644</v>
      </c>
      <c r="O333" s="93">
        <f t="shared" ca="1" si="150"/>
        <v>53.903825136612021</v>
      </c>
      <c r="P333" s="93">
        <f t="shared" ca="1" si="151"/>
        <v>70.586046511627913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IFERROR(__xludf.DUMMYFUNCTION("IMPORTRANGE(""https://docs.google.com/spreadsheets/d/1MeEWN-I1oV_STSDYn1IFDPWt_1FKiwhDph83XaGc0o0/edit?usp=sharing"",""งบพรบ!EP34"")"),0)</f>
        <v>0</v>
      </c>
      <c r="M336" s="93">
        <f ca="1">IFERROR(__xludf.DUMMYFUNCTION("IMPORTRANGE(""https://docs.google.com/spreadsheets/d/1MeEWN-I1oV_STSDYn1IFDPWt_1FKiwhDph83XaGc0o0/edit?usp=sharing"",""งบพรบ!ES34"")"),0)</f>
        <v>0</v>
      </c>
      <c r="N336" s="93">
        <f ca="1">IFERROR(__xludf.DUMMYFUNCTION("IMPORTRANGE(""https://docs.google.com/spreadsheets/d/1MeEWN-I1oV_STSDYn1IFDPWt_1FKiwhDph83XaGc0o0/edit?usp=sharing"",""งบพรบ!EU34"")"),0)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IFERROR(__xludf.DUMMYFUNCTION("IMPORTRANGE(""https://docs.google.com/spreadsheets/d/1QqKyyYR6Q21VydFLVH3TRQUabQu_ym0Zz7PgGX0-kHA/edit?usp=sharing"",""แผน!EG34"")"),3400)</f>
        <v>3400</v>
      </c>
      <c r="J338" s="270">
        <f ca="1">IFERROR(__xludf.DUMMYFUNCTION("IMPORTRANGE(""https://docs.google.com/spreadsheets/d/1kVcqe37tkHyjCSG3S0O1AXqVkqjo8mSIZil3BcpIysc/edit?usp=sharing"",""ศูนย์!D34"")"),4374)</f>
        <v>4374</v>
      </c>
      <c r="K338" s="497">
        <f ca="1">IF(I338&gt;0,J338*100/I338,0)</f>
        <v>128.64705882352942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IFERROR(__xludf.DUMMYFUNCTION("IMPORTRANGE(""https://docs.google.com/spreadsheets/d/1QqKyyYR6Q21VydFLVH3TRQUabQu_ym0Zz7PgGX0-kHA/edit?usp=sharing"",""แผน!EH34"")"),10)</f>
        <v>10</v>
      </c>
      <c r="J340" s="270">
        <f ca="1">IFERROR(__xludf.DUMMYFUNCTION("IMPORTRANGE(""https://docs.google.com/spreadsheets/d/1kVcqe37tkHyjCSG3S0O1AXqVkqjo8mSIZil3BcpIysc/edit?usp=sharing"",""ศูนย์!E34"")"),3)</f>
        <v>3</v>
      </c>
      <c r="K340" s="497">
        <f ca="1">IF(I340&gt;0,J340*100/I340,0)</f>
        <v>30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IFERROR(__xludf.DUMMYFUNCTION("IMPORTRANGE(""https://docs.google.com/spreadsheets/d/1kVcqe37tkHyjCSG3S0O1AXqVkqjo8mSIZil3BcpIysc/edit?usp=sharing"",""ศูนย์!F34"")"),171)</f>
        <v>171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IFERROR(__xludf.DUMMYFUNCTION("IMPORTRANGE(""https://docs.google.com/spreadsheets/d/1kVcqe37tkHyjCSG3S0O1AXqVkqjo8mSIZil3BcpIysc/edit?usp=sharing"",""ศูนย์!H34"")"),8)</f>
        <v>8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1905220</v>
      </c>
      <c r="M345" s="155">
        <f t="shared" ca="1" si="155"/>
        <v>1449820</v>
      </c>
      <c r="N345" s="155">
        <f t="shared" ca="1" si="155"/>
        <v>969763.3</v>
      </c>
      <c r="O345" s="155">
        <f t="shared" ref="O345:O353" ca="1" si="156">IF(L345&gt;0,N345*100/L345,0)</f>
        <v>50.900331720221288</v>
      </c>
      <c r="P345" s="155">
        <f t="shared" ref="P345:P353" ca="1" si="157">IF(M345&gt;0,N345*100/M345,0)</f>
        <v>66.888530990053937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1905220</v>
      </c>
      <c r="M347" s="93">
        <f t="shared" ca="1" si="158"/>
        <v>1449820</v>
      </c>
      <c r="N347" s="93">
        <f t="shared" ca="1" si="158"/>
        <v>969763.3</v>
      </c>
      <c r="O347" s="93">
        <f t="shared" ca="1" si="156"/>
        <v>50.900331720221288</v>
      </c>
      <c r="P347" s="93">
        <f t="shared" ca="1" si="157"/>
        <v>66.888530990053937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1753620</v>
      </c>
      <c r="M348" s="497">
        <f t="shared" ca="1" si="159"/>
        <v>1298220</v>
      </c>
      <c r="N348" s="497">
        <f t="shared" ca="1" si="159"/>
        <v>818163.3</v>
      </c>
      <c r="O348" s="497">
        <f t="shared" ca="1" si="156"/>
        <v>46.655677969001268</v>
      </c>
      <c r="P348" s="497">
        <f t="shared" ca="1" si="157"/>
        <v>63.021930027268105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IFERROR(__xludf.DUMMYFUNCTION("IMPORTRANGE(""https://docs.google.com/spreadsheets/d/1MeEWN-I1oV_STSDYn1IFDPWt_1FKiwhDph83XaGc0o0/edit?usp=sharing"",""งบพรบ!EW34"")"),1753620)</f>
        <v>1753620</v>
      </c>
      <c r="M350" s="93">
        <f ca="1">IFERROR(__xludf.DUMMYFUNCTION("IMPORTRANGE(""https://docs.google.com/spreadsheets/d/1MeEWN-I1oV_STSDYn1IFDPWt_1FKiwhDph83XaGc0o0/edit?usp=sharing"",""งบพรบ!FB34"")"),1298220)</f>
        <v>1298220</v>
      </c>
      <c r="N350" s="93">
        <f ca="1">IFERROR(__xludf.DUMMYFUNCTION("IMPORTRANGE(""https://docs.google.com/spreadsheets/d/1MeEWN-I1oV_STSDYn1IFDPWt_1FKiwhDph83XaGc0o0/edit?usp=sharing"",""งบพรบ!FD34"")"),818163.3)</f>
        <v>818163.3</v>
      </c>
      <c r="O350" s="93">
        <f t="shared" ca="1" si="156"/>
        <v>46.655677969001268</v>
      </c>
      <c r="P350" s="93">
        <f t="shared" ca="1" si="157"/>
        <v>63.021930027268105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IFERROR(__xludf.DUMMYFUNCTION("IMPORTRANGE(""https://docs.google.com/spreadsheets/d/1MeEWN-I1oV_STSDYn1IFDPWt_1FKiwhDph83XaGc0o0/edit?usp=sharing"",""งบพรบ!EZ34"")"),151600)</f>
        <v>151600</v>
      </c>
      <c r="M353" s="93">
        <f ca="1">IFERROR(__xludf.DUMMYFUNCTION("IMPORTRANGE(""https://docs.google.com/spreadsheets/d/1MeEWN-I1oV_STSDYn1IFDPWt_1FKiwhDph83XaGc0o0/edit?usp=sharing"",""งบพรบ!FC34"")"),151600)</f>
        <v>151600</v>
      </c>
      <c r="N353" s="93">
        <f ca="1">IFERROR(__xludf.DUMMYFUNCTION("IMPORTRANGE(""https://docs.google.com/spreadsheets/d/1MeEWN-I1oV_STSDYn1IFDPWt_1FKiwhDph83XaGc0o0/edit?usp=sharing"",""งบพรบ!FE34"")"),151600)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IFERROR(__xludf.DUMMYFUNCTION("IMPORTRANGE(""https://docs.google.com/spreadsheets/d/1QqKyyYR6Q21VydFLVH3TRQUabQu_ym0Zz7PgGX0-kHA/edit?usp=sharing"",""แผน!EP34"")"),700)</f>
        <v>700</v>
      </c>
      <c r="J355" s="464">
        <f ca="1">J362</f>
        <v>50</v>
      </c>
      <c r="K355" s="465">
        <f ca="1">IF(I355&gt;0,J355*100/I355,0)</f>
        <v>7.1428571428571432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IFERROR(__xludf.DUMMYFUNCTION("IMPORTRANGE(""https://docs.google.com/spreadsheets/d/1XWAQStnk-4SwqDmLtmXYiTMKHgktTP8We1SCoS47DrQ/edit?usp=sharing"",""จัดที่ดิน!W34"")"),267)</f>
        <v>267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IFERROR(__xludf.DUMMYFUNCTION("IMPORTRANGE(""https://docs.google.com/spreadsheets/d/1QqKyyYR6Q21VydFLVH3TRQUabQu_ym0Zz7PgGX0-kHA/edit?usp=sharing"",""แผน!EO34"")"),7000)</f>
        <v>7000</v>
      </c>
      <c r="J359" s="270">
        <f ca="1">IFERROR(__xludf.DUMMYFUNCTION("IMPORTRANGE(""https://docs.google.com/spreadsheets/d/1XWAQStnk-4SwqDmLtmXYiTMKHgktTP8We1SCoS47DrQ/edit?usp=sharing"",""จัดที่ดิน!X34"")"),2317.85)</f>
        <v>2317.85</v>
      </c>
      <c r="K359" s="497">
        <f t="shared" ca="1" si="161"/>
        <v>33.112142857142857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IFERROR(__xludf.DUMMYFUNCTION("IMPORTRANGE(""https://docs.google.com/spreadsheets/d/1QqKyyYR6Q21VydFLVH3TRQUabQu_ym0Zz7PgGX0-kHA/edit?usp=sharing"",""แผน!EP34"")"),700)</f>
        <v>700</v>
      </c>
      <c r="J360" s="270">
        <f ca="1">IFERROR(__xludf.DUMMYFUNCTION("IMPORTRANGE(""https://docs.google.com/spreadsheets/d/1XWAQStnk-4SwqDmLtmXYiTMKHgktTP8We1SCoS47DrQ/edit?usp=sharing"",""จัดที่ดิน!Y34"")"),165)</f>
        <v>165</v>
      </c>
      <c r="K360" s="497">
        <f t="shared" ca="1" si="161"/>
        <v>23.571428571428573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IFERROR(__xludf.DUMMYFUNCTION("IMPORTRANGE(""https://docs.google.com/spreadsheets/d/1XWAQStnk-4SwqDmLtmXYiTMKHgktTP8We1SCoS47DrQ/edit?usp=sharing"",""จัดที่ดิน!Z34"")"),1717.94)</f>
        <v>1717.94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IFERROR(__xludf.DUMMYFUNCTION("IMPORTRANGE(""https://docs.google.com/spreadsheets/d/1QqKyyYR6Q21VydFLVH3TRQUabQu_ym0Zz7PgGX0-kHA/edit?usp=sharing"",""แผน!EP34"")"),700)</f>
        <v>700</v>
      </c>
      <c r="J362" s="270">
        <f ca="1">IFERROR(__xludf.DUMMYFUNCTION("IMPORTRANGE(""https://docs.google.com/spreadsheets/d/1XWAQStnk-4SwqDmLtmXYiTMKHgktTP8We1SCoS47DrQ/edit?usp=sharing"",""จัดที่ดิน!AA34"")"),50)</f>
        <v>50</v>
      </c>
      <c r="K362" s="497">
        <f t="shared" ca="1" si="161"/>
        <v>7.1428571428571432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IFERROR(__xludf.DUMMYFUNCTION("IMPORTRANGE(""https://docs.google.com/spreadsheets/d/1XWAQStnk-4SwqDmLtmXYiTMKHgktTP8We1SCoS47DrQ/edit?usp=sharing"",""จัดที่ดิน!AB34"")"),580.63)</f>
        <v>580.63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1450</v>
      </c>
      <c r="J364" s="478">
        <f t="shared" ca="1" si="162"/>
        <v>265</v>
      </c>
      <c r="K364" s="479">
        <f t="shared" ca="1" si="161"/>
        <v>18.275862068965516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IFERROR(__xludf.DUMMYFUNCTION("IMPORTRANGE(""https://docs.google.com/spreadsheets/d/1QqKyyYR6Q21VydFLVH3TRQUabQu_ym0Zz7PgGX0-kHA/edit?usp=sharing"",""แผน!EJ34"")"),100)</f>
        <v>100</v>
      </c>
      <c r="J365" s="490">
        <f ca="1">J372</f>
        <v>13</v>
      </c>
      <c r="K365" s="491">
        <f t="shared" ca="1" si="161"/>
        <v>13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IFERROR(__xludf.DUMMYFUNCTION("IMPORTRANGE(""https://docs.google.com/spreadsheets/d/1XWAQStnk-4SwqDmLtmXYiTMKHgktTP8We1SCoS47DrQ/edit?usp=sharing"",""จัดที่ดิน!E34"")"),107)</f>
        <v>107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IFERROR(__xludf.DUMMYFUNCTION("IMPORTRANGE(""https://docs.google.com/spreadsheets/d/1QqKyyYR6Q21VydFLVH3TRQUabQu_ym0Zz7PgGX0-kHA/edit?usp=sharing"",""แผน!EI34"")"),1000)</f>
        <v>1000</v>
      </c>
      <c r="J369" s="270">
        <f ca="1">IFERROR(__xludf.DUMMYFUNCTION("IMPORTRANGE(""https://docs.google.com/spreadsheets/d/1XWAQStnk-4SwqDmLtmXYiTMKHgktTP8We1SCoS47DrQ/edit?usp=sharing"",""จัดที่ดิน!F34"")"),808.08)</f>
        <v>808.08</v>
      </c>
      <c r="K369" s="497">
        <f t="shared" ca="1" si="163"/>
        <v>80.808000000000007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IFERROR(__xludf.DUMMYFUNCTION("IMPORTRANGE(""https://docs.google.com/spreadsheets/d/1QqKyyYR6Q21VydFLVH3TRQUabQu_ym0Zz7PgGX0-kHA/edit?usp=sharing"",""แผน!EJ34"")"),100)</f>
        <v>100</v>
      </c>
      <c r="J370" s="270">
        <f ca="1">IFERROR(__xludf.DUMMYFUNCTION("IMPORTRANGE(""https://docs.google.com/spreadsheets/d/1XWAQStnk-4SwqDmLtmXYiTMKHgktTP8We1SCoS47DrQ/edit?usp=sharing"",""จัดที่ดิน!G34"")"),32)</f>
        <v>32</v>
      </c>
      <c r="K370" s="497">
        <f t="shared" ca="1" si="163"/>
        <v>32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IFERROR(__xludf.DUMMYFUNCTION("IMPORTRANGE(""https://docs.google.com/spreadsheets/d/1XWAQStnk-4SwqDmLtmXYiTMKHgktTP8We1SCoS47DrQ/edit?usp=sharing"",""จัดที่ดิน!H34"")"),442.54)</f>
        <v>442.54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IFERROR(__xludf.DUMMYFUNCTION("IMPORTRANGE(""https://docs.google.com/spreadsheets/d/1QqKyyYR6Q21VydFLVH3TRQUabQu_ym0Zz7PgGX0-kHA/edit?usp=sharing"",""แผน!EJ34"")"),100)</f>
        <v>100</v>
      </c>
      <c r="J372" s="270">
        <f ca="1">IFERROR(__xludf.DUMMYFUNCTION("IMPORTRANGE(""https://docs.google.com/spreadsheets/d/1XWAQStnk-4SwqDmLtmXYiTMKHgktTP8We1SCoS47DrQ/edit?usp=sharing"",""จัดที่ดิน!I34"")"),13)</f>
        <v>13</v>
      </c>
      <c r="K372" s="497">
        <f t="shared" ca="1" si="163"/>
        <v>13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IFERROR(__xludf.DUMMYFUNCTION("IMPORTRANGE(""https://docs.google.com/spreadsheets/d/1XWAQStnk-4SwqDmLtmXYiTMKHgktTP8We1SCoS47DrQ/edit?usp=sharing"",""จัดที่ดิน!J34"")"),200.31)</f>
        <v>200.31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IFERROR(__xludf.DUMMYFUNCTION("IMPORTRANGE(""https://docs.google.com/spreadsheets/d/1QqKyyYR6Q21VydFLVH3TRQUabQu_ym0Zz7PgGX0-kHA/edit?usp=sharing"",""แผน!EU34"")"),1350)</f>
        <v>1350</v>
      </c>
      <c r="J374" s="490">
        <f ca="1">J381</f>
        <v>252</v>
      </c>
      <c r="K374" s="491">
        <f t="shared" ca="1" si="163"/>
        <v>18.666666666666668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IFERROR(__xludf.DUMMYFUNCTION("IMPORTRANGE(""https://docs.google.com/spreadsheets/d/1XWAQStnk-4SwqDmLtmXYiTMKHgktTP8We1SCoS47DrQ/edit?usp=sharing"",""จัดที่ดิน!AH34"")"),160)</f>
        <v>160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IFERROR(__xludf.DUMMYFUNCTION("IMPORTRANGE(""https://docs.google.com/spreadsheets/d/1QqKyyYR6Q21VydFLVH3TRQUabQu_ym0Zz7PgGX0-kHA/edit?usp=sharing"",""แผน!ET34"")"),6000)</f>
        <v>6000</v>
      </c>
      <c r="J378" s="270">
        <f ca="1">IFERROR(__xludf.DUMMYFUNCTION("IMPORTRANGE(""https://docs.google.com/spreadsheets/d/1XWAQStnk-4SwqDmLtmXYiTMKHgktTP8We1SCoS47DrQ/edit?usp=sharing"",""จัดที่ดิน!AI34"")"),1509.77)</f>
        <v>1509.77</v>
      </c>
      <c r="K378" s="497">
        <f t="shared" ca="1" si="164"/>
        <v>25.162833333333332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IFERROR(__xludf.DUMMYFUNCTION("IMPORTRANGE(""https://docs.google.com/spreadsheets/d/1QqKyyYR6Q21VydFLVH3TRQUabQu_ym0Zz7PgGX0-kHA/edit?usp=sharing"",""แผน!EU34"")"),1350)</f>
        <v>1350</v>
      </c>
      <c r="J379" s="270">
        <f ca="1">IFERROR(__xludf.DUMMYFUNCTION("IMPORTRANGE(""https://docs.google.com/spreadsheets/d/1XWAQStnk-4SwqDmLtmXYiTMKHgktTP8We1SCoS47DrQ/edit?usp=sharing"",""จัดที่ดิน!AJ34"")"),470)</f>
        <v>470</v>
      </c>
      <c r="K379" s="497">
        <f t="shared" ca="1" si="164"/>
        <v>34.814814814814817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IFERROR(__xludf.DUMMYFUNCTION("IMPORTRANGE(""https://docs.google.com/spreadsheets/d/1XWAQStnk-4SwqDmLtmXYiTMKHgktTP8We1SCoS47DrQ/edit?usp=sharing"",""จัดที่ดิน!AK34"")"),6345.18)</f>
        <v>6345.18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IFERROR(__xludf.DUMMYFUNCTION("IMPORTRANGE(""https://docs.google.com/spreadsheets/d/1QqKyyYR6Q21VydFLVH3TRQUabQu_ym0Zz7PgGX0-kHA/edit?usp=sharing"",""แผน!EU34"")"),1350)</f>
        <v>1350</v>
      </c>
      <c r="J381" s="270">
        <f ca="1">IFERROR(__xludf.DUMMYFUNCTION("IMPORTRANGE(""https://docs.google.com/spreadsheets/d/1XWAQStnk-4SwqDmLtmXYiTMKHgktTP8We1SCoS47DrQ/edit?usp=sharing"",""จัดที่ดิน!AL34"")"),252)</f>
        <v>252</v>
      </c>
      <c r="K381" s="497">
        <f t="shared" ca="1" si="164"/>
        <v>18.666666666666668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IFERROR(__xludf.DUMMYFUNCTION("IMPORTRANGE(""https://docs.google.com/spreadsheets/d/1XWAQStnk-4SwqDmLtmXYiTMKHgktTP8We1SCoS47DrQ/edit?usp=sharing"",""จัดที่ดิน!AM34"")"),3507.66)</f>
        <v>3507.66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IFERROR(__xludf.DUMMYFUNCTION("IMPORTRANGE(""https://docs.google.com/spreadsheets/d/1QqKyyYR6Q21VydFLVH3TRQUabQu_ym0Zz7PgGX0-kHA/edit?usp=sharing"",""แผน!EW34"")"),100)</f>
        <v>100</v>
      </c>
      <c r="J385" s="504">
        <f ca="1">IFERROR(__xludf.DUMMYFUNCTION("IMPORTRANGE(""https://docs.google.com/spreadsheets/d/1XWAQStnk-4SwqDmLtmXYiTMKHgktTP8We1SCoS47DrQ/edit?usp=sharing"",""จัดที่ดิน!AP34"")"),0)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IFERROR(__xludf.DUMMYFUNCTION("IMPORTRANGE(""https://docs.google.com/spreadsheets/d/1MeEWN-I1oV_STSDYn1IFDPWt_1FKiwhDph83XaGc0o0/edit?usp=sharing"",""งบพรบ!FG34"")"),0)</f>
        <v>0</v>
      </c>
      <c r="M394" s="93">
        <f ca="1">IFERROR(__xludf.DUMMYFUNCTION("IMPORTRANGE(""https://docs.google.com/spreadsheets/d/1MeEWN-I1oV_STSDYn1IFDPWt_1FKiwhDph83XaGc0o0/edit?usp=sharing"",""งบพรบ!FL34"")"),0)</f>
        <v>0</v>
      </c>
      <c r="N394" s="93">
        <f ca="1">IFERROR(__xludf.DUMMYFUNCTION("IMPORTRANGE(""https://docs.google.com/spreadsheets/d/1MeEWN-I1oV_STSDYn1IFDPWt_1FKiwhDph83XaGc0o0/edit?usp=sharing"",""งบพรบ!FN34"")"),0)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IFERROR(__xludf.DUMMYFUNCTION("IMPORTRANGE(""https://docs.google.com/spreadsheets/d/1MeEWN-I1oV_STSDYn1IFDPWt_1FKiwhDph83XaGc0o0/edit?usp=sharing"",""งบพรบ!FJ34"")"),0)</f>
        <v>0</v>
      </c>
      <c r="M397" s="93">
        <f ca="1">IFERROR(__xludf.DUMMYFUNCTION("IMPORTRANGE(""https://docs.google.com/spreadsheets/d/1MeEWN-I1oV_STSDYn1IFDPWt_1FKiwhDph83XaGc0o0/edit?usp=sharing"",""งบพรบ!FM34"")"),0)</f>
        <v>0</v>
      </c>
      <c r="N397" s="93">
        <f ca="1">IFERROR(__xludf.DUMMYFUNCTION("IMPORTRANGE(""https://docs.google.com/spreadsheets/d/1MeEWN-I1oV_STSDYn1IFDPWt_1FKiwhDph83XaGc0o0/edit?usp=sharing"",""งบพรบ!FO34"")"),0)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IFERROR(__xludf.DUMMYFUNCTION("IMPORTRANGE(""https://docs.google.com/spreadsheets/d/1MeEWN-I1oV_STSDYn1IFDPWt_1FKiwhDph83XaGc0o0/edit?usp=sharing"",""งบพรบ!FQ34"")"),0)</f>
        <v>0</v>
      </c>
      <c r="M407" s="93">
        <f ca="1">IFERROR(__xludf.DUMMYFUNCTION("IMPORTRANGE(""https://docs.google.com/spreadsheets/d/1MeEWN-I1oV_STSDYn1IFDPWt_1FKiwhDph83XaGc0o0/edit?usp=sharing"",""งบพรบ!FV34"")"),0)</f>
        <v>0</v>
      </c>
      <c r="N407" s="93">
        <f ca="1">IFERROR(__xludf.DUMMYFUNCTION("IMPORTRANGE(""https://docs.google.com/spreadsheets/d/1MeEWN-I1oV_STSDYn1IFDPWt_1FKiwhDph83XaGc0o0/edit?usp=sharing"",""งบพรบ!FX34"")"),0)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IFERROR(__xludf.DUMMYFUNCTION("IMPORTRANGE(""https://docs.google.com/spreadsheets/d/1MeEWN-I1oV_STSDYn1IFDPWt_1FKiwhDph83XaGc0o0/edit?usp=sharing"",""งบพรบ!FT34"")"),0)</f>
        <v>0</v>
      </c>
      <c r="M410" s="93">
        <f ca="1">IFERROR(__xludf.DUMMYFUNCTION("IMPORTRANGE(""https://docs.google.com/spreadsheets/d/1MeEWN-I1oV_STSDYn1IFDPWt_1FKiwhDph83XaGc0o0/edit?usp=sharing"",""งบพรบ!FW34"")"),0)</f>
        <v>0</v>
      </c>
      <c r="N410" s="93">
        <f ca="1">IFERROR(__xludf.DUMMYFUNCTION("IMPORTRANGE(""https://docs.google.com/spreadsheets/d/1MeEWN-I1oV_STSDYn1IFDPWt_1FKiwhDph83XaGc0o0/edit?usp=sharing"",""งบพรบ!FY34"")"),0)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2394164</v>
      </c>
      <c r="M414" s="552">
        <f t="shared" ca="1" si="181"/>
        <v>2394164</v>
      </c>
      <c r="N414" s="552">
        <f t="shared" si="181"/>
        <v>845618</v>
      </c>
      <c r="O414" s="552">
        <f ca="1">IF(L414&gt;0,N414*100/L414,0)</f>
        <v>35.319969726384656</v>
      </c>
      <c r="P414" s="552">
        <f ca="1">IF(M414&gt;0,N414*100/M414,0)</f>
        <v>35.319969726384656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0</v>
      </c>
      <c r="K417" s="569">
        <f t="shared" ref="K417:K418" ca="1" si="183">IF(I417&gt;0,J417*100/I417,0)</f>
        <v>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0</v>
      </c>
      <c r="K418" s="569">
        <f t="shared" ca="1" si="183"/>
        <v>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36872</v>
      </c>
      <c r="O419" s="155">
        <f t="shared" ref="O419:O424" ca="1" si="185">IF(L419&gt;0,N419*100/L419,0)</f>
        <v>46.875158911772182</v>
      </c>
      <c r="P419" s="155">
        <f t="shared" ref="P419:P424" ca="1" si="186">IF(M419&gt;0,N419*100/M419,0)</f>
        <v>46.875158911772182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36872</v>
      </c>
      <c r="O421" s="93">
        <f t="shared" ca="1" si="185"/>
        <v>46.875158911772182</v>
      </c>
      <c r="P421" s="93">
        <f t="shared" ca="1" si="186"/>
        <v>46.875158911772182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36872</v>
      </c>
      <c r="O422" s="497">
        <f t="shared" ca="1" si="185"/>
        <v>46.875158911772182</v>
      </c>
      <c r="P422" s="497">
        <f t="shared" ca="1" si="186"/>
        <v>46.875158911772182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IFERROR(__xludf.DUMMYFUNCTION("IMPORTRANGE(""https://docs.google.com/spreadsheets/d/1QqKyyYR6Q21VydFLVH3TRQUabQu_ym0Zz7PgGX0-kHA/edit?usp=sharing"",""แผน!EY34"")"),78660)</f>
        <v>78660</v>
      </c>
      <c r="M424" s="93">
        <f ca="1">L424</f>
        <v>78660</v>
      </c>
      <c r="N424" s="93">
        <f>N425+N426+N427+N428</f>
        <v>36872</v>
      </c>
      <c r="O424" s="93">
        <f t="shared" ca="1" si="185"/>
        <v>46.875158911772182</v>
      </c>
      <c r="P424" s="93">
        <f t="shared" ca="1" si="186"/>
        <v>46.875158911772182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f>25480+1720</f>
        <v>27200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f>450+9222</f>
        <v>9672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IFERROR(__xludf.DUMMYFUNCTION("IMPORTRANGE(""https://docs.google.com/spreadsheets/d/1QqKyyYR6Q21VydFLVH3TRQUabQu_ym0Zz7PgGX0-kHA/edit?usp=sharing"",""แผน!FC34"")"),20)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IFERROR(__xludf.DUMMYFUNCTION("IMPORTRANGE(""https://docs.google.com/spreadsheets/d/1QqKyyYR6Q21VydFLVH3TRQUabQu_ym0Zz7PgGX0-kHA/edit?usp=sharing"",""แผน!FF34"")"),20)</f>
        <v>20</v>
      </c>
      <c r="J439" s="582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0</v>
      </c>
      <c r="J442" s="588">
        <f t="shared" si="195"/>
        <v>0</v>
      </c>
      <c r="K442" s="589">
        <f t="shared" ca="1" si="194"/>
        <v>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 hidden="1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0</v>
      </c>
      <c r="J443" s="568">
        <f t="shared" si="196"/>
        <v>0</v>
      </c>
      <c r="K443" s="569">
        <f t="shared" ca="1" si="194"/>
        <v>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 hidden="1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 hidden="1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 hidden="1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 hidden="1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 hidden="1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 hidden="1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 hidden="1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 hidden="1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 hidden="1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 hidden="1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 hidden="1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 hidden="1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 hidden="1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IFERROR(__xludf.DUMMYFUNCTION("IMPORTRANGE(""https://docs.google.com/spreadsheets/d/1QqKyyYR6Q21VydFLVH3TRQUabQu_ym0Zz7PgGX0-kHA/edit?usp=sharing"",""แผน!FX34"")"),51)</f>
        <v>51</v>
      </c>
      <c r="J465" s="588">
        <f>J485+J489+J492</f>
        <v>50</v>
      </c>
      <c r="K465" s="589">
        <f t="shared" ref="K465:K466" ca="1" si="205">IF(I465&gt;0,J465*100/I465,0)</f>
        <v>98.039215686274517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410253</v>
      </c>
      <c r="M467" s="195">
        <f t="shared" ca="1" si="206"/>
        <v>410253</v>
      </c>
      <c r="N467" s="195">
        <f t="shared" si="206"/>
        <v>64515</v>
      </c>
      <c r="O467" s="195">
        <f t="shared" ref="O467:O472" ca="1" si="207">IF(L467&gt;0,N467*100/L467,0)</f>
        <v>15.725661969565122</v>
      </c>
      <c r="P467" s="195">
        <f t="shared" ref="P467:P472" ca="1" si="208">IF(M467&gt;0,N467*100/M467,0)</f>
        <v>15.725661969565122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410253</v>
      </c>
      <c r="M469" s="93">
        <f t="shared" ca="1" si="209"/>
        <v>410253</v>
      </c>
      <c r="N469" s="93">
        <f t="shared" si="209"/>
        <v>64515</v>
      </c>
      <c r="O469" s="93">
        <f t="shared" ca="1" si="207"/>
        <v>15.725661969565122</v>
      </c>
      <c r="P469" s="93">
        <f t="shared" ca="1" si="208"/>
        <v>15.725661969565122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410253</v>
      </c>
      <c r="M470" s="497">
        <f t="shared" ca="1" si="210"/>
        <v>410253</v>
      </c>
      <c r="N470" s="497">
        <f t="shared" si="210"/>
        <v>64515</v>
      </c>
      <c r="O470" s="497">
        <f t="shared" ca="1" si="207"/>
        <v>15.725661969565122</v>
      </c>
      <c r="P470" s="497">
        <f t="shared" ca="1" si="208"/>
        <v>15.725661969565122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IFERROR(__xludf.DUMMYFUNCTION("IMPORTRANGE(""https://docs.google.com/spreadsheets/d/1QqKyyYR6Q21VydFLVH3TRQUabQu_ym0Zz7PgGX0-kHA/edit?usp=sharing"",""แผน!FS34"")"),410253)</f>
        <v>410253</v>
      </c>
      <c r="M472" s="93">
        <f ca="1">L472</f>
        <v>410253</v>
      </c>
      <c r="N472" s="93">
        <f>N473+N474+N475+N476</f>
        <v>64515</v>
      </c>
      <c r="O472" s="93">
        <f t="shared" ca="1" si="207"/>
        <v>15.725661969565122</v>
      </c>
      <c r="P472" s="93">
        <f t="shared" ca="1" si="208"/>
        <v>15.725661969565122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17930+760+41480+4345</f>
        <v>64515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IFERROR(__xludf.DUMMYFUNCTION("IMPORTRANGE(""https://docs.google.com/spreadsheets/d/1QqKyyYR6Q21VydFLVH3TRQUabQu_ym0Zz7PgGX0-kHA/edit?usp=sharing"",""แผน!GC34"")"),1)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99295</v>
      </c>
      <c r="J543" s="685">
        <f t="shared" si="235"/>
        <v>99295</v>
      </c>
      <c r="K543" s="686">
        <f t="shared" ca="1" si="234"/>
        <v>100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689881</v>
      </c>
      <c r="M544" s="155">
        <f t="shared" ca="1" si="236"/>
        <v>689881</v>
      </c>
      <c r="N544" s="155">
        <f t="shared" si="236"/>
        <v>279776</v>
      </c>
      <c r="O544" s="155">
        <f t="shared" ref="O544:O549" ca="1" si="237">IF(L544&gt;0,N544*100/L544,0)</f>
        <v>40.554240513943711</v>
      </c>
      <c r="P544" s="155">
        <f t="shared" ref="P544:P549" ca="1" si="238">IF(M544&gt;0,N544*100/M544,0)</f>
        <v>40.554240513943711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689881</v>
      </c>
      <c r="M546" s="93">
        <f t="shared" ca="1" si="240"/>
        <v>689881</v>
      </c>
      <c r="N546" s="93">
        <f t="shared" si="240"/>
        <v>279776</v>
      </c>
      <c r="O546" s="93">
        <f t="shared" ca="1" si="237"/>
        <v>40.554240513943711</v>
      </c>
      <c r="P546" s="93">
        <f t="shared" ca="1" si="238"/>
        <v>40.554240513943711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689881</v>
      </c>
      <c r="M547" s="497">
        <f t="shared" ca="1" si="241"/>
        <v>689881</v>
      </c>
      <c r="N547" s="497">
        <f t="shared" si="241"/>
        <v>279776</v>
      </c>
      <c r="O547" s="497">
        <f t="shared" ca="1" si="237"/>
        <v>40.554240513943711</v>
      </c>
      <c r="P547" s="497">
        <f t="shared" ca="1" si="238"/>
        <v>40.554240513943711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IFERROR(__xludf.DUMMYFUNCTION("IMPORTRANGE(""https://docs.google.com/spreadsheets/d/1QqKyyYR6Q21VydFLVH3TRQUabQu_ym0Zz7PgGX0-kHA/edit?usp=sharing"",""แผน!HB34"")"),689881)</f>
        <v>689881</v>
      </c>
      <c r="M549" s="93">
        <f ca="1">L549</f>
        <v>689881</v>
      </c>
      <c r="N549" s="93">
        <f>N550+N551+N552+N553+N554</f>
        <v>279776</v>
      </c>
      <c r="O549" s="93">
        <f t="shared" ca="1" si="237"/>
        <v>40.554240513943711</v>
      </c>
      <c r="P549" s="93">
        <f t="shared" ca="1" si="238"/>
        <v>40.554240513943711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32700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f>37266+21742</f>
        <v>59008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120903+1920+44365+4880+16000</f>
        <v>188068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99295</v>
      </c>
      <c r="J559" s="706">
        <f t="shared" si="245"/>
        <v>99295</v>
      </c>
      <c r="K559" s="675">
        <f t="shared" ref="K559:K561" ca="1" si="246">IF(I559&gt;0,J559*100/I559,0)</f>
        <v>100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IFERROR(__xludf.DUMMYFUNCTION("IMPORTRANGE(""https://docs.google.com/spreadsheets/d/1QqKyyYR6Q21VydFLVH3TRQUabQu_ym0Zz7PgGX0-kHA/edit?usp=sharing"",""แผน!HH34"")"),99295)</f>
        <v>99295</v>
      </c>
      <c r="J560" s="193">
        <f t="shared" ref="J560:J561" si="247">J562+J564+J566</f>
        <v>99295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IFERROR(__xludf.DUMMYFUNCTION("IMPORTRANGE(""https://docs.google.com/spreadsheets/d/1QqKyyYR6Q21VydFLVH3TRQUabQu_ym0Zz7PgGX0-kHA/edit?usp=sharing"",""แผน!HG34"")"),8010)</f>
        <v>8010</v>
      </c>
      <c r="J561" s="193">
        <f t="shared" si="247"/>
        <v>8010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88224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7244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8072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514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2999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252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IFERROR(__xludf.DUMMYFUNCTION("IMPORTRANGE(""https://docs.google.com/spreadsheets/d/1QqKyyYR6Q21VydFLVH3TRQUabQu_ym0Zz7PgGX0-kHA/edit?usp=sharing"",""แผน!HH34"")"),99295)</f>
        <v>99295</v>
      </c>
      <c r="J568" s="679">
        <f t="shared" ref="J568:J569" si="248">J570+J572+J574</f>
        <v>99295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IFERROR(__xludf.DUMMYFUNCTION("IMPORTRANGE(""https://docs.google.com/spreadsheets/d/1QqKyyYR6Q21VydFLVH3TRQUabQu_ym0Zz7PgGX0-kHA/edit?usp=sharing"",""แผน!HG34"")"),8010)</f>
        <v>8010</v>
      </c>
      <c r="J569" s="679">
        <f t="shared" si="248"/>
        <v>8010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89582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7321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6690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424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265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IFERROR(__xludf.DUMMYFUNCTION("IMPORTRANGE(""https://docs.google.com/spreadsheets/d/1QqKyyYR6Q21VydFLVH3TRQUabQu_ym0Zz7PgGX0-kHA/edit?usp=sharing"",""แผน!HH34"")"),99295)</f>
        <v>99295</v>
      </c>
      <c r="J576" s="679">
        <f t="shared" ref="J576:J577" si="250">J578+J580+J582+J588+J590</f>
        <v>99295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IFERROR(__xludf.DUMMYFUNCTION("IMPORTRANGE(""https://docs.google.com/spreadsheets/d/1QqKyyYR6Q21VydFLVH3TRQUabQu_ym0Zz7PgGX0-kHA/edit?usp=sharing"",""แผน!HG34"")"),8010)</f>
        <v>8010</v>
      </c>
      <c r="J577" s="679">
        <f t="shared" si="250"/>
        <v>8010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89582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7321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6690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424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3023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265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2906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255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117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8081.89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IFERROR(__xludf.DUMMYFUNCTION("IMPORTRANGE(""https://docs.google.com/spreadsheets/d/1QqKyyYR6Q21VydFLVH3TRQUabQu_ym0Zz7PgGX0-kHA/edit?usp=sharing"",""แผน!HJ34"")"),8081.89)</f>
        <v>8081.89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IFERROR(__xludf.DUMMYFUNCTION("IMPORTRANGE(""https://docs.google.com/spreadsheets/d/1QqKyyYR6Q21VydFLVH3TRQUabQu_ym0Zz7PgGX0-kHA/edit?usp=sharing"",""แผน!HI34"")"),699)</f>
        <v>699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IFERROR(__xludf.DUMMYFUNCTION("IMPORTRANGE(""https://docs.google.com/spreadsheets/d/1QqKyyYR6Q21VydFLVH3TRQUabQu_ym0Zz7PgGX0-kHA/edit?usp=sharing"",""แผน!HL34"")"),121)</f>
        <v>121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IFERROR(__xludf.DUMMYFUNCTION("IMPORTRANGE(""https://docs.google.com/spreadsheets/d/1QqKyyYR6Q21VydFLVH3TRQUabQu_ym0Zz7PgGX0-kHA/edit?usp=sharing"",""แผน!HK34"")"),6)</f>
        <v>6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1142370</v>
      </c>
      <c r="M629" s="195">
        <f t="shared" ca="1" si="263"/>
        <v>1142370</v>
      </c>
      <c r="N629" s="195">
        <f t="shared" si="263"/>
        <v>460575</v>
      </c>
      <c r="O629" s="195">
        <f t="shared" ref="O629:O634" ca="1" si="264">IF(L629&gt;0,N629*100/L629,0)</f>
        <v>40.317497833451512</v>
      </c>
      <c r="P629" s="195">
        <f t="shared" ref="P629:P634" ca="1" si="265">IF(M629&gt;0,N629*100/M629,0)</f>
        <v>40.317497833451512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1142370</v>
      </c>
      <c r="M631" s="93">
        <f t="shared" ca="1" si="266"/>
        <v>1142370</v>
      </c>
      <c r="N631" s="93">
        <f t="shared" si="266"/>
        <v>460575</v>
      </c>
      <c r="O631" s="93">
        <f t="shared" ca="1" si="264"/>
        <v>40.317497833451512</v>
      </c>
      <c r="P631" s="93">
        <f t="shared" ca="1" si="265"/>
        <v>40.317497833451512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1142370</v>
      </c>
      <c r="M632" s="497">
        <f t="shared" ca="1" si="267"/>
        <v>1142370</v>
      </c>
      <c r="N632" s="497">
        <f t="shared" si="267"/>
        <v>460575</v>
      </c>
      <c r="O632" s="497">
        <f t="shared" ca="1" si="264"/>
        <v>40.317497833451512</v>
      </c>
      <c r="P632" s="497">
        <f t="shared" ca="1" si="265"/>
        <v>40.317497833451512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IFERROR(__xludf.DUMMYFUNCTION("IMPORTRANGE(""https://docs.google.com/spreadsheets/d/1QqKyyYR6Q21VydFLVH3TRQUabQu_ym0Zz7PgGX0-kHA/edit?usp=sharing"",""แผน!HN34"")"),1142370)</f>
        <v>1142370</v>
      </c>
      <c r="M634" s="93">
        <f ca="1">L634</f>
        <v>1142370</v>
      </c>
      <c r="N634" s="93">
        <f>N635+N636+N637+N638</f>
        <v>460575</v>
      </c>
      <c r="O634" s="93">
        <f t="shared" ca="1" si="264"/>
        <v>40.317497833451512</v>
      </c>
      <c r="P634" s="93">
        <f t="shared" ca="1" si="265"/>
        <v>40.317497833451512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27840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f>26000+25580+26000+13000</f>
        <v>90580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342155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IFERROR(__xludf.DUMMYFUNCTION("IMPORTRANGE(""https://docs.google.com/spreadsheets/d/1XWAQStnk-4SwqDmLtmXYiTMKHgktTP8We1SCoS47DrQ/edit?usp=sharing"",""จัดที่ดิน!AS34"")"),1206)</f>
        <v>1206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IFERROR(__xludf.DUMMYFUNCTION("IMPORTRANGE(""https://docs.google.com/spreadsheets/d/1XWAQStnk-4SwqDmLtmXYiTMKHgktTP8We1SCoS47DrQ/edit?usp=sharing"",""จัดที่ดิน!AT34"")"),674.38)</f>
        <v>674.38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IFERROR(__xludf.DUMMYFUNCTION("IMPORTRANGE(""https://docs.google.com/spreadsheets/d/1QqKyyYR6Q21VydFLVH3TRQUabQu_ym0Zz7PgGX0-kHA/edit?usp=sharing"",""แผน!HS34"")"),1200)</f>
        <v>1200</v>
      </c>
      <c r="J647" s="270">
        <f ca="1">IFERROR(__xludf.DUMMYFUNCTION("IMPORTRANGE(""https://docs.google.com/spreadsheets/d/1XWAQStnk-4SwqDmLtmXYiTMKHgktTP8We1SCoS47DrQ/edit?usp=sharing"",""จัดที่ดิน!AU34"")"),628)</f>
        <v>628</v>
      </c>
      <c r="K647" s="163">
        <f t="shared" ca="1" si="271"/>
        <v>52.333333333333336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IFERROR(__xludf.DUMMYFUNCTION("IMPORTRANGE(""https://docs.google.com/spreadsheets/d/1XWAQStnk-4SwqDmLtmXYiTMKHgktTP8We1SCoS47DrQ/edit?usp=sharing"",""จัดที่ดิน!AV34"")"),366.77)</f>
        <v>366.77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IFERROR(__xludf.DUMMYFUNCTION("IMPORTRANGE(""https://docs.google.com/spreadsheets/d/1QqKyyYR6Q21VydFLVH3TRQUabQu_ym0Zz7PgGX0-kHA/edit?usp=sharing"",""แผน!HS34"")"),1200)</f>
        <v>1200</v>
      </c>
      <c r="J649" s="270">
        <f ca="1">IFERROR(__xludf.DUMMYFUNCTION("IMPORTRANGE(""https://docs.google.com/spreadsheets/d/1XWAQStnk-4SwqDmLtmXYiTMKHgktTP8We1SCoS47DrQ/edit?usp=sharing"",""จัดที่ดิน!AW34"")"),247)</f>
        <v>247</v>
      </c>
      <c r="K649" s="163">
        <f t="shared" ca="1" si="271"/>
        <v>20.583333333333332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IFERROR(__xludf.DUMMYFUNCTION("IMPORTRANGE(""https://docs.google.com/spreadsheets/d/1XWAQStnk-4SwqDmLtmXYiTMKHgktTP8We1SCoS47DrQ/edit?usp=sharing"",""จัดที่ดิน!AX34"")"),138.78)</f>
        <v>138.78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IFERROR(__xludf.DUMMYFUNCTION("IMPORTRANGE(""https://docs.google.com/spreadsheets/d/1QqKyyYR6Q21VydFLVH3TRQUabQu_ym0Zz7PgGX0-kHA/edit?usp=sharing"",""แผน!HS34"")"),1200)</f>
        <v>1200</v>
      </c>
      <c r="J651" s="270">
        <f ca="1">IFERROR(__xludf.DUMMYFUNCTION("IMPORTRANGE(""https://docs.google.com/spreadsheets/d/1XWAQStnk-4SwqDmLtmXYiTMKHgktTP8We1SCoS47DrQ/edit?usp=sharing"",""จัดที่ดิน!AY34"")"),0)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IFERROR(__xludf.DUMMYFUNCTION("IMPORTRANGE(""https://docs.google.com/spreadsheets/d/1XWAQStnk-4SwqDmLtmXYiTMKHgktTP8We1SCoS47DrQ/edit?usp=sharing"",""จัดที่ดิน!AZ34"")"),0)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3880</v>
      </c>
      <c r="O655" s="195">
        <f t="shared" ref="O655:O660" ca="1" si="274">IF(L655&gt;0,N655*100/L655,0)</f>
        <v>24.871794871794872</v>
      </c>
      <c r="P655" s="195">
        <f t="shared" ref="P655:P660" ca="1" si="275">IF(M655&gt;0,N655*100/M655,0)</f>
        <v>24.871794871794872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3880</v>
      </c>
      <c r="O657" s="93">
        <f t="shared" ca="1" si="274"/>
        <v>24.871794871794872</v>
      </c>
      <c r="P657" s="93">
        <f t="shared" ca="1" si="275"/>
        <v>24.871794871794872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3880</v>
      </c>
      <c r="O658" s="497">
        <f t="shared" ca="1" si="274"/>
        <v>24.871794871794872</v>
      </c>
      <c r="P658" s="497">
        <f t="shared" ca="1" si="275"/>
        <v>24.871794871794872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IFERROR(__xludf.DUMMYFUNCTION("IMPORTRANGE(""https://docs.google.com/spreadsheets/d/1QqKyyYR6Q21VydFLVH3TRQUabQu_ym0Zz7PgGX0-kHA/edit?usp=sharing"",""แผน!HV34"")"),15600)</f>
        <v>15600</v>
      </c>
      <c r="M660" s="93">
        <f ca="1">L660</f>
        <v>15600</v>
      </c>
      <c r="N660" s="93">
        <f>N661+N662+N663+N664</f>
        <v>3880</v>
      </c>
      <c r="O660" s="93">
        <f t="shared" ca="1" si="274"/>
        <v>24.871794871794872</v>
      </c>
      <c r="P660" s="93">
        <f t="shared" ca="1" si="275"/>
        <v>24.871794871794872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2520+1360</f>
        <v>3880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512</v>
      </c>
      <c r="K672" s="497">
        <f t="shared" ref="K672:K675" ca="1" si="281">IF(I$669&gt;0,J672*100/I$669,0)</f>
        <v>512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57400</v>
      </c>
      <c r="M685" s="195">
        <f t="shared" ca="1" si="282"/>
        <v>57400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57400</v>
      </c>
      <c r="M687" s="93">
        <f t="shared" ca="1" si="285"/>
        <v>57400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57400</v>
      </c>
      <c r="M688" s="497">
        <f t="shared" ca="1" si="286"/>
        <v>57400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IFERROR(__xludf.DUMMYFUNCTION("IMPORTRANGE(""https://docs.google.com/spreadsheets/d/1QqKyyYR6Q21VydFLVH3TRQUabQu_ym0Zz7PgGX0-kHA/edit?usp=sharing"",""แผน!HW34"")"),57400)</f>
        <v>57400</v>
      </c>
      <c r="M690" s="93">
        <f ca="1">L690</f>
        <v>57400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IFERROR(__xludf.DUMMYFUNCTION("IMPORTRANGE(""https://docs.google.com/spreadsheets/d/1QqKyyYR6Q21VydFLVH3TRQUabQu_ym0Zz7PgGX0-kHA/edit?usp=sharing"",""แผน!IC34"")"),0)</f>
        <v>0</v>
      </c>
      <c r="J699" s="270">
        <f ca="1">IFERROR(__xludf.DUMMYFUNCTION("IMPORTRANGE(""https://docs.google.com/spreadsheets/d/1XWAQStnk-4SwqDmLtmXYiTMKHgktTP8We1SCoS47DrQ/edit?usp=sharing"",""จัดที่ดิน!BB34"")"),0)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IFERROR(__xludf.DUMMYFUNCTION("IMPORTRANGE(""https://docs.google.com/spreadsheets/d/1QqKyyYR6Q21VydFLVH3TRQUabQu_ym0Zz7PgGX0-kHA/edit?usp=sharing"",""แผน!ID34"")"),23)</f>
        <v>23</v>
      </c>
      <c r="J700" s="270">
        <f ca="1">IFERROR(__xludf.DUMMYFUNCTION("IMPORTRANGE(""https://docs.google.com/spreadsheets/d/1XWAQStnk-4SwqDmLtmXYiTMKHgktTP8We1SCoS47DrQ/edit?usp=sharing"",""จัดที่ดิน!BD34"")"),7)</f>
        <v>7</v>
      </c>
      <c r="K700" s="497">
        <f t="shared" ca="1" si="290"/>
        <v>30.434782608695652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IFERROR(__xludf.DUMMYFUNCTION("IMPORTRANGE(""https://docs.google.com/spreadsheets/d/1QqKyyYR6Q21VydFLVH3TRQUabQu_ym0Zz7PgGX0-kHA/edit?usp=sharing"",""แผน!IE34"")"),1368)</f>
        <v>1368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IFERROR(__xludf.DUMMYFUNCTION("IMPORTRANGE(""https://docs.google.com/spreadsheets/d/1QqKyyYR6Q21VydFLVH3TRQUabQu_ym0Zz7PgGX0-kHA/edit?usp=sharing"",""แผน!IF34"")"),36)</f>
        <v>36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IFERROR(__xludf.DUMMYFUNCTION("IMPORTRANGE(""https://docs.google.com/spreadsheets/d/1QqKyyYR6Q21VydFLVH3TRQUabQu_ym0Zz7PgGX0-kHA/edit?usp=sharing"",""แผน!IG34"")"),1332)</f>
        <v>1332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IFERROR(__xludf.DUMMYFUNCTION("IMPORTRANGE(""https://docs.google.com/spreadsheets/d/1QqKyyYR6Q21VydFLVH3TRQUabQu_ym0Zz7PgGX0-kHA/edit?usp=sharing"",""แผน!IH34"")"),84)</f>
        <v>84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IFERROR(__xludf.DUMMYFUNCTION("IMPORTRANGE(""https://docs.google.com/spreadsheets/d/1QqKyyYR6Q21VydFLVH3TRQUabQu_ym0Zz7PgGX0-kHA/edit?usp=sharing"",""แผน!II34"")"),0)</f>
        <v>0</v>
      </c>
      <c r="J720" s="270">
        <f ca="1">IFERROR(__xludf.DUMMYFUNCTION("IMPORTRANGE(""https://docs.google.com/spreadsheets/d/1XWAQStnk-4SwqDmLtmXYiTMKHgktTP8We1SCoS47DrQ/edit?usp=sharing"",""จัดที่ดิน!BH34"")"),0)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IFERROR(__xludf.DUMMYFUNCTION("IMPORTRANGE(""https://docs.google.com/spreadsheets/d/1QqKyyYR6Q21VydFLVH3TRQUabQu_ym0Zz7PgGX0-kHA/edit?usp=sharing"",""แผน!IJ34"")"),45)</f>
        <v>45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IFERROR(__xludf.DUMMYFUNCTION("IMPORTRANGE(""https://docs.google.com/spreadsheets/d/1QqKyyYR6Q21VydFLVH3TRQUabQu_ym0Zz7PgGX0-kHA/edit?usp=sharing"",""แผน!IK34"")"),540)</f>
        <v>540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IFERROR(__xludf.DUMMYFUNCTION("IMPORTRANGE(""https://docs.google.com/spreadsheets/d/1QqKyyYR6Q21VydFLVH3TRQUabQu_ym0Zz7PgGX0-kHA/edit?usp=sharing"",""แผน!IL34"")"),45)</f>
        <v>45</v>
      </c>
      <c r="J723" s="270">
        <f ca="1">IFERROR(__xludf.DUMMYFUNCTION("IMPORTRANGE(""https://docs.google.com/spreadsheets/d/1XWAQStnk-4SwqDmLtmXYiTMKHgktTP8We1SCoS47DrQ/edit?usp=sharing"",""จัดที่ดิน!BM34"")"),0)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IFERROR(__xludf.DUMMYFUNCTION("IMPORTRANGE(""https://docs.google.com/spreadsheets/d/1QqKyyYR6Q21VydFLVH3TRQUabQu_ym0Zz7PgGX0-kHA/edit?usp=sharing"",""แผน!IM34"")"),540)</f>
        <v>540</v>
      </c>
      <c r="J725" s="270">
        <f ca="1">IFERROR(__xludf.DUMMYFUNCTION("IMPORTRANGE(""https://docs.google.com/spreadsheets/d/1XWAQStnk-4SwqDmLtmXYiTMKHgktTP8We1SCoS47DrQ/edit?usp=sharing"",""จัดที่ดิน!BO34"")"),0)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IFERROR(__xludf.DUMMYFUNCTION("IMPORTRANGE(""https://docs.google.com/spreadsheets/d/1QqKyyYR6Q21VydFLVH3TRQUabQu_ym0Zz7PgGX0-kHA/edit?usp=sharing"",""แผน!IN34"")"),0)</f>
        <v>0</v>
      </c>
      <c r="J726" s="270">
        <f ca="1">IFERROR(__xludf.DUMMYFUNCTION("IMPORTRANGE(""https://docs.google.com/spreadsheets/d/1XWAQStnk-4SwqDmLtmXYiTMKHgktTP8We1SCoS47DrQ/edit?usp=sharing"",""จัดที่ดิน!BR34"")"),0)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IFERROR(__xludf.DUMMYFUNCTION("IMPORTRANGE(""https://docs.google.com/spreadsheets/d/1QqKyyYR6Q21VydFLVH3TRQUabQu_ym0Zz7PgGX0-kHA/edit?usp=sharing"",""แผน!IO34"")"),0)</f>
        <v>0</v>
      </c>
      <c r="J728" s="270">
        <f ca="1">IFERROR(__xludf.DUMMYFUNCTION("IMPORTRANGE(""https://docs.google.com/spreadsheets/d/1XWAQStnk-4SwqDmLtmXYiTMKHgktTP8We1SCoS47DrQ/edit?usp=sharing"",""จัดที่ดิน!BT34"")"),0)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IFERROR(__xludf.DUMMYFUNCTION("IMPORTRANGE(""https://docs.google.com/spreadsheets/d/1QqKyyYR6Q21VydFLVH3TRQUabQu_ym0Zz7PgGX0-kHA/edit?usp=sharing"",""แผน!IP34"")"),192)</f>
        <v>192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IFERROR(__xludf.DUMMYFUNCTION("IMPORTRANGE(""https://docs.google.com/spreadsheets/d/1QqKyyYR6Q21VydFLVH3TRQUabQu_ym0Zz7PgGX0-kHA/edit?usp=sharing"",""แผน!JN34"")"),0)</f>
        <v>0</v>
      </c>
      <c r="J800" s="184">
        <f ca="1">IFERROR(__xludf.DUMMYFUNCTION("IMPORTRANGE(""https://docs.google.com/spreadsheets/d/1MaWodYyGHDf7siQLGxnXhG4mBNTNIuy296niS2xXulU/edit?usp=sharing"",""RTK!H34"")"),0)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270">
        <f ca="1">IFERROR(__xludf.DUMMYFUNCTION("IMPORTRANGE(""https://docs.google.com/spreadsheets/d/19vJNZY_5yjcGF2XGBMNZRCAIB0Kwfpjp8YEOfu-bneM/edit?usp=sharing"",""งานกองทุน!F34"")"),1852900)</f>
        <v>1852900</v>
      </c>
      <c r="K821" s="497">
        <f t="shared" ref="K821:K828" ca="1" si="335">IF(I821&gt;0,J821*100/I821,0)</f>
        <v>58.117732719254093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IFERROR(__xludf.DUMMYFUNCTION("IMPORTRANGE(""https://docs.google.com/spreadsheets/d/19vJNZY_5yjcGF2XGBMNZRCAIB0Kwfpjp8YEOfu-bneM/edit?usp=sharing"",""งานกองทุน!C34"")"),96)</f>
        <v>96</v>
      </c>
      <c r="J822" s="270">
        <f ca="1">IFERROR(__xludf.DUMMYFUNCTION("IMPORTRANGE(""https://docs.google.com/spreadsheets/d/19vJNZY_5yjcGF2XGBMNZRCAIB0Kwfpjp8YEOfu-bneM/edit?usp=sharing"",""งานกองทุน!E34"")"),75)</f>
        <v>75</v>
      </c>
      <c r="K822" s="497">
        <f t="shared" ca="1" si="335"/>
        <v>78.125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270">
        <f ca="1">IFERROR(__xludf.DUMMYFUNCTION("IMPORTRANGE(""https://docs.google.com/spreadsheets/d/19vJNZY_5yjcGF2XGBMNZRCAIB0Kwfpjp8YEOfu-bneM/edit?usp=sharing"",""งานกองทุน!K34"")"),518613.06)</f>
        <v>518613.06</v>
      </c>
      <c r="K823" s="497">
        <f t="shared" ca="1" si="335"/>
        <v>6.4481910353395824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IFERROR(__xludf.DUMMYFUNCTION("IMPORTRANGE(""https://docs.google.com/spreadsheets/d/19vJNZY_5yjcGF2XGBMNZRCAIB0Kwfpjp8YEOfu-bneM/edit?usp=sharing"",""งานกองทุน!H34"")"),335)</f>
        <v>335</v>
      </c>
      <c r="J824" s="270">
        <f ca="1">IFERROR(__xludf.DUMMYFUNCTION("IMPORTRANGE(""https://docs.google.com/spreadsheets/d/19vJNZY_5yjcGF2XGBMNZRCAIB0Kwfpjp8YEOfu-bneM/edit?usp=sharing"",""งานกองทุน!J34"")"),134)</f>
        <v>134</v>
      </c>
      <c r="K824" s="497">
        <f t="shared" ca="1" si="335"/>
        <v>40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270">
        <f ca="1">IFERROR(__xludf.DUMMYFUNCTION("IMPORTRANGE(""https://docs.google.com/spreadsheets/d/19vJNZY_5yjcGF2XGBMNZRCAIB0Kwfpjp8YEOfu-bneM/edit?usp=sharing"",""งานกองทุน!P34"")"),845868.24)</f>
        <v>845868.24</v>
      </c>
      <c r="K825" s="497">
        <f t="shared" ca="1" si="335"/>
        <v>111.87972817562044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IFERROR(__xludf.DUMMYFUNCTION("IMPORTRANGE(""https://docs.google.com/spreadsheets/d/19vJNZY_5yjcGF2XGBMNZRCAIB0Kwfpjp8YEOfu-bneM/edit?usp=sharing"",""งานกองทุน!M34"")"),67)</f>
        <v>67</v>
      </c>
      <c r="J826" s="270">
        <f ca="1">IFERROR(__xludf.DUMMYFUNCTION("IMPORTRANGE(""https://docs.google.com/spreadsheets/d/19vJNZY_5yjcGF2XGBMNZRCAIB0Kwfpjp8YEOfu-bneM/edit?usp=sharing"",""งานกองทุน!O34"")"),19)</f>
        <v>19</v>
      </c>
      <c r="K826" s="497">
        <f t="shared" ca="1" si="335"/>
        <v>28.35820895522388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IFERROR(__xludf.DUMMYFUNCTION("IMPORTRANGE(""https://docs.google.com/spreadsheets/d/19vJNZY_5yjcGF2XGBMNZRCAIB0Kwfpjp8YEOfu-bneM/edit?usp=sharing"",""งานกองทุน!S34"")"),3930000)</f>
        <v>3930000</v>
      </c>
      <c r="J827" s="270">
        <f ca="1">IFERROR(__xludf.DUMMYFUNCTION("IMPORTRANGE(""https://docs.google.com/spreadsheets/d/19vJNZY_5yjcGF2XGBMNZRCAIB0Kwfpjp8YEOfu-bneM/edit?usp=sharing"",""งานกองทุน!U34"")"),1770000)</f>
        <v>1770000</v>
      </c>
      <c r="K827" s="497">
        <f t="shared" ca="1" si="335"/>
        <v>45.038167938931295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IFERROR(__xludf.DUMMYFUNCTION("IMPORTRANGE(""https://docs.google.com/spreadsheets/d/19vJNZY_5yjcGF2XGBMNZRCAIB0Kwfpjp8YEOfu-bneM/edit?usp=sharing"",""งานกองทุน!R34"")"),157)</f>
        <v>157</v>
      </c>
      <c r="J828" s="504">
        <f ca="1">IFERROR(__xludf.DUMMYFUNCTION("IMPORTRANGE(""https://docs.google.com/spreadsheets/d/19vJNZY_5yjcGF2XGBMNZRCAIB0Kwfpjp8YEOfu-bneM/edit?usp=sharing"",""งานกองทุน!T34"")"),48)</f>
        <v>48</v>
      </c>
      <c r="K828" s="505">
        <f t="shared" ca="1" si="335"/>
        <v>30.573248407643312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01D46-A79A-4FD3-87DC-199ADD79E8D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5403919</v>
      </c>
      <c r="M8" s="22">
        <f t="shared" ca="1" si="0"/>
        <v>4775164</v>
      </c>
      <c r="N8" s="22">
        <f t="shared" ca="1" si="0"/>
        <v>2582308.94</v>
      </c>
      <c r="O8" s="22">
        <f t="shared" ref="O8:O16" ca="1" si="1">IF(L8&gt;0,N8*100/L8,0)</f>
        <v>47.785855783552641</v>
      </c>
      <c r="P8" s="22">
        <f t="shared" ref="P8:P16" ca="1" si="2">IF(M8&gt;0,N8*100/M8,0)</f>
        <v>54.077911041379942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5403919</v>
      </c>
      <c r="M10" s="30">
        <f t="shared" ca="1" si="3"/>
        <v>4775164</v>
      </c>
      <c r="N10" s="30">
        <f t="shared" ca="1" si="3"/>
        <v>2582308.94</v>
      </c>
      <c r="O10" s="30">
        <f t="shared" ca="1" si="1"/>
        <v>47.785855783552641</v>
      </c>
      <c r="P10" s="30">
        <f t="shared" ca="1" si="2"/>
        <v>54.077911041379942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5228519</v>
      </c>
      <c r="M11" s="497">
        <f t="shared" ca="1" si="4"/>
        <v>4613764</v>
      </c>
      <c r="N11" s="497">
        <f t="shared" ca="1" si="4"/>
        <v>2420908.94</v>
      </c>
      <c r="O11" s="497">
        <f t="shared" ca="1" si="1"/>
        <v>46.302001388921028</v>
      </c>
      <c r="P11" s="497">
        <f t="shared" ca="1" si="2"/>
        <v>52.471451509006528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5228519</v>
      </c>
      <c r="M13" s="93">
        <f t="shared" ca="1" si="5"/>
        <v>4613764</v>
      </c>
      <c r="N13" s="93">
        <f t="shared" ca="1" si="5"/>
        <v>2420908.94</v>
      </c>
      <c r="O13" s="93">
        <f t="shared" ca="1" si="1"/>
        <v>46.302001388921028</v>
      </c>
      <c r="P13" s="93">
        <f t="shared" ca="1" si="2"/>
        <v>52.471451509006528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175400</v>
      </c>
      <c r="M14" s="497">
        <f t="shared" ca="1" si="6"/>
        <v>161400</v>
      </c>
      <c r="N14" s="497">
        <f t="shared" ca="1" si="6"/>
        <v>161400</v>
      </c>
      <c r="O14" s="497">
        <f t="shared" ca="1" si="1"/>
        <v>92.018244013683017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175400</v>
      </c>
      <c r="M16" s="52">
        <f t="shared" ca="1" si="7"/>
        <v>161400</v>
      </c>
      <c r="N16" s="52">
        <f t="shared" ca="1" si="7"/>
        <v>161400</v>
      </c>
      <c r="O16" s="52">
        <f t="shared" ca="1" si="1"/>
        <v>92.018244013683017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3362475</v>
      </c>
      <c r="M18" s="22">
        <f t="shared" ca="1" si="8"/>
        <v>2733720</v>
      </c>
      <c r="N18" s="22">
        <f t="shared" ca="1" si="8"/>
        <v>1924367.57</v>
      </c>
      <c r="O18" s="22">
        <f t="shared" ref="O18:O26" ca="1" si="9">IF(L18&gt;0,N18*100/L18,0)</f>
        <v>57.230687811805289</v>
      </c>
      <c r="P18" s="22">
        <f t="shared" ref="P18:P26" ca="1" si="10">IF(M18&gt;0,N18*100/M18,0)</f>
        <v>70.393733447463532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3362475</v>
      </c>
      <c r="M20" s="30">
        <f t="shared" ca="1" si="11"/>
        <v>2733720</v>
      </c>
      <c r="N20" s="30">
        <f t="shared" ca="1" si="11"/>
        <v>1924367.57</v>
      </c>
      <c r="O20" s="30">
        <f t="shared" ca="1" si="9"/>
        <v>57.230687811805289</v>
      </c>
      <c r="P20" s="30">
        <f t="shared" ca="1" si="10"/>
        <v>70.393733447463532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3187075</v>
      </c>
      <c r="M21" s="497">
        <f t="shared" ca="1" si="12"/>
        <v>2572320</v>
      </c>
      <c r="N21" s="497">
        <f t="shared" ca="1" si="12"/>
        <v>1762967.57</v>
      </c>
      <c r="O21" s="497">
        <f t="shared" ca="1" si="9"/>
        <v>55.316161998070328</v>
      </c>
      <c r="P21" s="497">
        <f t="shared" ca="1" si="10"/>
        <v>68.536090766312128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3187075</v>
      </c>
      <c r="M23" s="93">
        <f t="shared" ca="1" si="13"/>
        <v>2572320</v>
      </c>
      <c r="N23" s="93">
        <f t="shared" ca="1" si="13"/>
        <v>1762967.57</v>
      </c>
      <c r="O23" s="93">
        <f t="shared" ca="1" si="9"/>
        <v>55.316161998070328</v>
      </c>
      <c r="P23" s="93">
        <f t="shared" ca="1" si="10"/>
        <v>68.536090766312128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175400</v>
      </c>
      <c r="M24" s="497">
        <f t="shared" ca="1" si="14"/>
        <v>161400</v>
      </c>
      <c r="N24" s="497">
        <f t="shared" ca="1" si="14"/>
        <v>161400</v>
      </c>
      <c r="O24" s="497">
        <f t="shared" ca="1" si="9"/>
        <v>92.018244013683017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175400</v>
      </c>
      <c r="M26" s="52">
        <f t="shared" ca="1" si="15"/>
        <v>161400</v>
      </c>
      <c r="N26" s="52">
        <f t="shared" ca="1" si="15"/>
        <v>161400</v>
      </c>
      <c r="O26" s="52">
        <f t="shared" ca="1" si="9"/>
        <v>92.018244013683017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2041444</v>
      </c>
      <c r="M28" s="22">
        <f t="shared" ca="1" si="16"/>
        <v>2041444</v>
      </c>
      <c r="N28" s="22">
        <f t="shared" si="16"/>
        <v>657941.37</v>
      </c>
      <c r="O28" s="22">
        <f t="shared" ref="O28:O37" ca="1" si="17">IF(L28&gt;0,N28*100/L28,0)</f>
        <v>32.229214712722957</v>
      </c>
      <c r="P28" s="22">
        <f t="shared" ref="P28:P37" ca="1" si="18">IF(M28&gt;0,N28*100/M28,0)</f>
        <v>32.229214712722957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2041444</v>
      </c>
      <c r="M30" s="30">
        <f t="shared" ca="1" si="19"/>
        <v>2041444</v>
      </c>
      <c r="N30" s="30">
        <f t="shared" si="19"/>
        <v>657941.37</v>
      </c>
      <c r="O30" s="30">
        <f t="shared" ca="1" si="17"/>
        <v>32.229214712722957</v>
      </c>
      <c r="P30" s="30">
        <f t="shared" ca="1" si="18"/>
        <v>32.229214712722957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2041444</v>
      </c>
      <c r="M31" s="497">
        <f t="shared" ca="1" si="20"/>
        <v>2041444</v>
      </c>
      <c r="N31" s="497">
        <f t="shared" si="20"/>
        <v>657941.37</v>
      </c>
      <c r="O31" s="497">
        <f t="shared" ca="1" si="17"/>
        <v>32.229214712722957</v>
      </c>
      <c r="P31" s="497">
        <f t="shared" ca="1" si="18"/>
        <v>32.229214712722957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2041444</v>
      </c>
      <c r="M33" s="93">
        <f t="shared" ca="1" si="21"/>
        <v>2041444</v>
      </c>
      <c r="N33" s="93">
        <f t="shared" si="21"/>
        <v>657941.37</v>
      </c>
      <c r="O33" s="93">
        <f t="shared" ca="1" si="17"/>
        <v>32.229214712722957</v>
      </c>
      <c r="P33" s="93">
        <f t="shared" ca="1" si="18"/>
        <v>32.229214712722957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3362475</v>
      </c>
      <c r="M37" s="870">
        <f t="shared" ca="1" si="24"/>
        <v>2733720</v>
      </c>
      <c r="N37" s="870">
        <f t="shared" ca="1" si="24"/>
        <v>1924367.57</v>
      </c>
      <c r="O37" s="870">
        <f t="shared" ca="1" si="17"/>
        <v>57.230687811805289</v>
      </c>
      <c r="P37" s="870">
        <f t="shared" ca="1" si="18"/>
        <v>70.393733447463532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432900</v>
      </c>
      <c r="M41" s="85">
        <f t="shared" ca="1" si="25"/>
        <v>436980</v>
      </c>
      <c r="N41" s="85">
        <f t="shared" ca="1" si="25"/>
        <v>225390</v>
      </c>
      <c r="O41" s="85">
        <f t="shared" ref="O41:O49" ca="1" si="26">IF(L41&gt;0,N41*100/L41,0)</f>
        <v>52.065142065142062</v>
      </c>
      <c r="P41" s="85">
        <f t="shared" ref="P41:P49" ca="1" si="27">IF(M41&gt;0,N41*100/M41,0)</f>
        <v>51.579019634765892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432900</v>
      </c>
      <c r="M43" s="92">
        <f t="shared" ca="1" si="28"/>
        <v>436980</v>
      </c>
      <c r="N43" s="92">
        <f t="shared" ca="1" si="28"/>
        <v>225390</v>
      </c>
      <c r="O43" s="92">
        <f t="shared" ca="1" si="26"/>
        <v>52.065142065142062</v>
      </c>
      <c r="P43" s="92">
        <f t="shared" ca="1" si="27"/>
        <v>51.579019634765892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432900</v>
      </c>
      <c r="M44" s="497">
        <f t="shared" ca="1" si="29"/>
        <v>436980</v>
      </c>
      <c r="N44" s="497">
        <f t="shared" ca="1" si="29"/>
        <v>225390</v>
      </c>
      <c r="O44" s="497">
        <f t="shared" ca="1" si="26"/>
        <v>52.065142065142062</v>
      </c>
      <c r="P44" s="497">
        <f t="shared" ca="1" si="27"/>
        <v>51.579019634765892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IFERROR(__xludf.DUMMYFUNCTION("IMPORTRANGE(""https://docs.google.com/spreadsheets/d/1MeEWN-I1oV_STSDYn1IFDPWt_1FKiwhDph83XaGc0o0/edit?usp=sharing"",""งบพรบ!M35"")"),432900)</f>
        <v>432900</v>
      </c>
      <c r="M46" s="93">
        <f ca="1">IFERROR(__xludf.DUMMYFUNCTION("IMPORTRANGE(""https://docs.google.com/spreadsheets/d/1MeEWN-I1oV_STSDYn1IFDPWt_1FKiwhDph83XaGc0o0/edit?usp=sharing"",""งบพรบ!R35"")"),436980)</f>
        <v>436980</v>
      </c>
      <c r="N46" s="93">
        <f ca="1">IFERROR(__xludf.DUMMYFUNCTION("IMPORTRANGE(""https://docs.google.com/spreadsheets/d/1MeEWN-I1oV_STSDYn1IFDPWt_1FKiwhDph83XaGc0o0/edit?usp=sharing"",""งบพรบ!T35"")"),225390)</f>
        <v>225390</v>
      </c>
      <c r="O46" s="93">
        <f t="shared" ca="1" si="26"/>
        <v>52.065142065142062</v>
      </c>
      <c r="P46" s="93">
        <f t="shared" ca="1" si="27"/>
        <v>51.579019634765892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IFERROR(__xludf.DUMMYFUNCTION("IMPORTRANGE(""https://docs.google.com/spreadsheets/d/1MeEWN-I1oV_STSDYn1IFDPWt_1FKiwhDph83XaGc0o0/edit?usp=sharing"",""งบพรบ!P35"")"),0)</f>
        <v>0</v>
      </c>
      <c r="M49" s="52">
        <f ca="1">IFERROR(__xludf.DUMMYFUNCTION("IMPORTRANGE(""https://docs.google.com/spreadsheets/d/1MeEWN-I1oV_STSDYn1IFDPWt_1FKiwhDph83XaGc0o0/edit?usp=sharing"",""งบพรบ!S35"")"),0)</f>
        <v>0</v>
      </c>
      <c r="N49" s="52">
        <f ca="1">IFERROR(__xludf.DUMMYFUNCTION("IMPORTRANGE(""https://docs.google.com/spreadsheets/d/1MeEWN-I1oV_STSDYn1IFDPWt_1FKiwhDph83XaGc0o0/edit?usp=sharing"",""งบพรบ!U35"")"),0)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673900</v>
      </c>
      <c r="M53" s="116">
        <f t="shared" ca="1" si="31"/>
        <v>505575</v>
      </c>
      <c r="N53" s="116">
        <f t="shared" ca="1" si="31"/>
        <v>367856.57</v>
      </c>
      <c r="O53" s="116">
        <f t="shared" ref="O53:O61" ca="1" si="32">IF(L53&gt;0,N53*100/L53,0)</f>
        <v>54.586224959192755</v>
      </c>
      <c r="P53" s="116">
        <f t="shared" ref="P53:P61" ca="1" si="33">IF(M53&gt;0,N53*100/M53,0)</f>
        <v>72.760039558918066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673900</v>
      </c>
      <c r="M55" s="123">
        <f t="shared" ca="1" si="34"/>
        <v>505575</v>
      </c>
      <c r="N55" s="123">
        <f t="shared" ca="1" si="34"/>
        <v>367856.57</v>
      </c>
      <c r="O55" s="123">
        <f t="shared" ca="1" si="32"/>
        <v>54.586224959192755</v>
      </c>
      <c r="P55" s="123">
        <f t="shared" ca="1" si="33"/>
        <v>72.760039558918066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634100</v>
      </c>
      <c r="M56" s="497">
        <f t="shared" ca="1" si="35"/>
        <v>475575</v>
      </c>
      <c r="N56" s="497">
        <f t="shared" ca="1" si="35"/>
        <v>337856.57</v>
      </c>
      <c r="O56" s="497">
        <f t="shared" ca="1" si="32"/>
        <v>53.28127582400252</v>
      </c>
      <c r="P56" s="497">
        <f t="shared" ca="1" si="33"/>
        <v>71.041701098670032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IFERROR(__xludf.DUMMYFUNCTION("IMPORTRANGE(""https://docs.google.com/spreadsheets/d/1MeEWN-I1oV_STSDYn1IFDPWt_1FKiwhDph83XaGc0o0/edit?usp=sharing"",""งบพรบ!W35"")"),634100)</f>
        <v>634100</v>
      </c>
      <c r="M58" s="93">
        <f ca="1">IFERROR(__xludf.DUMMYFUNCTION("IMPORTRANGE(""https://docs.google.com/spreadsheets/d/1MeEWN-I1oV_STSDYn1IFDPWt_1FKiwhDph83XaGc0o0/edit?usp=sharing"",""งบพรบ!AB35"")"),475575)</f>
        <v>475575</v>
      </c>
      <c r="N58" s="93">
        <f ca="1">IFERROR(__xludf.DUMMYFUNCTION("IMPORTRANGE(""https://docs.google.com/spreadsheets/d/1MeEWN-I1oV_STSDYn1IFDPWt_1FKiwhDph83XaGc0o0/edit?usp=sharing"",""งบพรบ!AD35"")"),337856.57)</f>
        <v>337856.57</v>
      </c>
      <c r="O58" s="93">
        <f t="shared" ca="1" si="32"/>
        <v>53.28127582400252</v>
      </c>
      <c r="P58" s="93">
        <f t="shared" ca="1" si="33"/>
        <v>71.041701098670032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39800</v>
      </c>
      <c r="M59" s="497">
        <f t="shared" ca="1" si="36"/>
        <v>30000</v>
      </c>
      <c r="N59" s="497">
        <f t="shared" ca="1" si="36"/>
        <v>30000</v>
      </c>
      <c r="O59" s="497">
        <f t="shared" ca="1" si="32"/>
        <v>75.37688442211055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IFERROR(__xludf.DUMMYFUNCTION("IMPORTRANGE(""https://docs.google.com/spreadsheets/d/1MeEWN-I1oV_STSDYn1IFDPWt_1FKiwhDph83XaGc0o0/edit?usp=sharing"",""งบพรบ!Z35"")"),39800)</f>
        <v>39800</v>
      </c>
      <c r="M61" s="52">
        <f ca="1">IFERROR(__xludf.DUMMYFUNCTION("IMPORTRANGE(""https://docs.google.com/spreadsheets/d/1MeEWN-I1oV_STSDYn1IFDPWt_1FKiwhDph83XaGc0o0/edit?usp=sharing"",""งบพรบ!AC35"")"),30000)</f>
        <v>30000</v>
      </c>
      <c r="N61" s="52">
        <f ca="1">IFERROR(__xludf.DUMMYFUNCTION("IMPORTRANGE(""https://docs.google.com/spreadsheets/d/1MeEWN-I1oV_STSDYn1IFDPWt_1FKiwhDph83XaGc0o0/edit?usp=sharing"",""งบพรบ!AE35"")"),30000)</f>
        <v>30000</v>
      </c>
      <c r="O61" s="52">
        <f t="shared" ca="1" si="32"/>
        <v>75.37688442211055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50</v>
      </c>
      <c r="J65" s="144">
        <f t="shared" si="37"/>
        <v>50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885100</v>
      </c>
      <c r="M66" s="155">
        <f t="shared" ca="1" si="39"/>
        <v>689510</v>
      </c>
      <c r="N66" s="155">
        <f t="shared" ca="1" si="39"/>
        <v>565589.76000000001</v>
      </c>
      <c r="O66" s="155">
        <f t="shared" ref="O66:O74" ca="1" si="40">IF(L66&gt;0,N66*100/L66,0)</f>
        <v>63.901226980002257</v>
      </c>
      <c r="P66" s="155">
        <f t="shared" ref="P66:P74" ca="1" si="41">IF(M66&gt;0,N66*100/M66,0)</f>
        <v>82.027782048121125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885100</v>
      </c>
      <c r="M68" s="93">
        <f t="shared" ca="1" si="42"/>
        <v>689510</v>
      </c>
      <c r="N68" s="93">
        <f t="shared" ca="1" si="42"/>
        <v>565589.76000000001</v>
      </c>
      <c r="O68" s="93">
        <f t="shared" ca="1" si="40"/>
        <v>63.901226980002257</v>
      </c>
      <c r="P68" s="93">
        <f t="shared" ca="1" si="41"/>
        <v>82.027782048121125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885100</v>
      </c>
      <c r="M69" s="497">
        <f t="shared" ca="1" si="43"/>
        <v>689510</v>
      </c>
      <c r="N69" s="497">
        <f t="shared" ca="1" si="43"/>
        <v>565589.76000000001</v>
      </c>
      <c r="O69" s="497">
        <f t="shared" ca="1" si="40"/>
        <v>63.901226980002257</v>
      </c>
      <c r="P69" s="497">
        <f t="shared" ca="1" si="41"/>
        <v>82.027782048121125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IFERROR(__xludf.DUMMYFUNCTION("IMPORTRANGE(""https://docs.google.com/spreadsheets/d/1MeEWN-I1oV_STSDYn1IFDPWt_1FKiwhDph83XaGc0o0/edit?usp=sharing"",""งบพรบ!AG35"")"),885100)</f>
        <v>885100</v>
      </c>
      <c r="M71" s="93">
        <f ca="1">IFERROR(__xludf.DUMMYFUNCTION("IMPORTRANGE(""https://docs.google.com/spreadsheets/d/1MeEWN-I1oV_STSDYn1IFDPWt_1FKiwhDph83XaGc0o0/edit?usp=sharing"",""งบพรบ!AL35"")"),689510)</f>
        <v>689510</v>
      </c>
      <c r="N71" s="93">
        <f ca="1">IFERROR(__xludf.DUMMYFUNCTION("IMPORTRANGE(""https://docs.google.com/spreadsheets/d/1MeEWN-I1oV_STSDYn1IFDPWt_1FKiwhDph83XaGc0o0/edit?usp=sharing"",""งบพรบ!AN35"")"),565589.76)</f>
        <v>565589.76000000001</v>
      </c>
      <c r="O71" s="93">
        <f t="shared" ca="1" si="40"/>
        <v>63.901226980002257</v>
      </c>
      <c r="P71" s="93">
        <f t="shared" ca="1" si="41"/>
        <v>82.027782048121125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IFERROR(__xludf.DUMMYFUNCTION("IMPORTRANGE(""https://docs.google.com/spreadsheets/d/1MeEWN-I1oV_STSDYn1IFDPWt_1FKiwhDph83XaGc0o0/edit?usp=sharing"",""งบพรบ!AJ35"")"),0)</f>
        <v>0</v>
      </c>
      <c r="M74" s="93">
        <f ca="1">IFERROR(__xludf.DUMMYFUNCTION("IMPORTRANGE(""https://docs.google.com/spreadsheets/d/1MeEWN-I1oV_STSDYn1IFDPWt_1FKiwhDph83XaGc0o0/edit?usp=sharing"",""งบพรบ!AM35"")"),0)</f>
        <v>0</v>
      </c>
      <c r="N74" s="93">
        <f ca="1">IFERROR(__xludf.DUMMYFUNCTION("IMPORTRANGE(""https://docs.google.com/spreadsheets/d/1MeEWN-I1oV_STSDYn1IFDPWt_1FKiwhDph83XaGc0o0/edit?usp=sharing"",""งบพรบ!AO35"")"),0)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50</v>
      </c>
      <c r="J77" s="270">
        <f t="shared" si="45"/>
        <v>50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IFERROR(__xludf.DUMMYFUNCTION("IMPORTRANGE(""https://docs.google.com/spreadsheets/d/1QqKyyYR6Q21VydFLVH3TRQUabQu_ym0Zz7PgGX0-kHA/edit?usp=sharing"",""แผน!E35"")"),50)</f>
        <v>50</v>
      </c>
      <c r="J83" s="215">
        <v>50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51390</v>
      </c>
      <c r="N88" s="155">
        <f t="shared" ca="1" si="49"/>
        <v>21820</v>
      </c>
      <c r="O88" s="155">
        <f t="shared" ref="O88:O96" ca="1" si="50">IF(L88&gt;0,N88*100/L88,0)</f>
        <v>25.419384902143523</v>
      </c>
      <c r="P88" s="155">
        <f t="shared" ref="P88:P96" ca="1" si="51">IF(M88&gt;0,N88*100/M88,0)</f>
        <v>42.459622494648762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51390</v>
      </c>
      <c r="N90" s="93">
        <f t="shared" ca="1" si="52"/>
        <v>21820</v>
      </c>
      <c r="O90" s="93">
        <f t="shared" ca="1" si="50"/>
        <v>25.419384902143523</v>
      </c>
      <c r="P90" s="93">
        <f t="shared" ca="1" si="51"/>
        <v>42.459622494648762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51390</v>
      </c>
      <c r="N91" s="497">
        <f t="shared" ca="1" si="53"/>
        <v>21820</v>
      </c>
      <c r="O91" s="497">
        <f t="shared" ca="1" si="50"/>
        <v>25.419384902143523</v>
      </c>
      <c r="P91" s="497">
        <f t="shared" ca="1" si="51"/>
        <v>42.459622494648762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IFERROR(__xludf.DUMMYFUNCTION("IMPORTRANGE(""https://docs.google.com/spreadsheets/d/1MeEWN-I1oV_STSDYn1IFDPWt_1FKiwhDph83XaGc0o0/edit?usp=sharing"",""งบพรบ!AQ35"")"),85840)</f>
        <v>85840</v>
      </c>
      <c r="M93" s="93">
        <f ca="1">IFERROR(__xludf.DUMMYFUNCTION("IMPORTRANGE(""https://docs.google.com/spreadsheets/d/1MeEWN-I1oV_STSDYn1IFDPWt_1FKiwhDph83XaGc0o0/edit?usp=sharing"",""งบพรบ!AV35"")"),51390)</f>
        <v>51390</v>
      </c>
      <c r="N93" s="93">
        <f ca="1">IFERROR(__xludf.DUMMYFUNCTION("IMPORTRANGE(""https://docs.google.com/spreadsheets/d/1MeEWN-I1oV_STSDYn1IFDPWt_1FKiwhDph83XaGc0o0/edit?usp=sharing"",""งบพรบ!AX35"")"),21820)</f>
        <v>21820</v>
      </c>
      <c r="O93" s="93">
        <f t="shared" ca="1" si="50"/>
        <v>25.419384902143523</v>
      </c>
      <c r="P93" s="93">
        <f t="shared" ca="1" si="51"/>
        <v>42.459622494648762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IFERROR(__xludf.DUMMYFUNCTION("IMPORTRANGE(""https://docs.google.com/spreadsheets/d/1MeEWN-I1oV_STSDYn1IFDPWt_1FKiwhDph83XaGc0o0/edit?usp=sharing"",""งบพรบ!AT35"")"),0)</f>
        <v>0</v>
      </c>
      <c r="M96" s="93">
        <f ca="1">IFERROR(__xludf.DUMMYFUNCTION("IMPORTRANGE(""https://docs.google.com/spreadsheets/d/1MeEWN-I1oV_STSDYn1IFDPWt_1FKiwhDph83XaGc0o0/edit?usp=sharing"",""งบพรบ!AW35"")"),0)</f>
        <v>0</v>
      </c>
      <c r="N96" s="93">
        <f ca="1">IFERROR(__xludf.DUMMYFUNCTION("IMPORTRANGE(""https://docs.google.com/spreadsheets/d/1MeEWN-I1oV_STSDYn1IFDPWt_1FKiwhDph83XaGc0o0/edit?usp=sharing"",""งบพรบ!AY35"")"),0)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IFERROR(__xludf.DUMMYFUNCTION("IMPORTRANGE(""https://docs.google.com/spreadsheets/d/1QqKyyYR6Q21VydFLVH3TRQUabQu_ym0Zz7PgGX0-kHA/edit?usp=sharing"",""แผน!M35"")"),2)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IFERROR(__xludf.DUMMYFUNCTION("IMPORTRANGE(""https://docs.google.com/spreadsheets/d/1QqKyyYR6Q21VydFLVH3TRQUabQu_ym0Zz7PgGX0-kHA/edit?usp=sharing"",""แผน!P35"")"),1)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IFERROR(__xludf.DUMMYFUNCTION("IMPORTRANGE(""https://docs.google.com/spreadsheets/d/1QqKyyYR6Q21VydFLVH3TRQUabQu_ym0Zz7PgGX0-kHA/edit?usp=sharing"",""แผน!P35"")"),1)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IFERROR(__xludf.DUMMYFUNCTION("IMPORTRANGE(""https://docs.google.com/spreadsheets/d/1QqKyyYR6Q21VydFLVH3TRQUabQu_ym0Zz7PgGX0-kHA/edit?usp=sharing"",""แผน!R35"")"),10)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IFERROR(__xludf.DUMMYFUNCTION("IMPORTRANGE(""https://docs.google.com/spreadsheets/d/1MeEWN-I1oV_STSDYn1IFDPWt_1FKiwhDph83XaGc0o0/edit?usp=sharing"",""งบพรบ!BA35"")"),0)</f>
        <v>0</v>
      </c>
      <c r="M124" s="93">
        <f ca="1">IFERROR(__xludf.DUMMYFUNCTION("IMPORTRANGE(""https://docs.google.com/spreadsheets/d/1MeEWN-I1oV_STSDYn1IFDPWt_1FKiwhDph83XaGc0o0/edit?usp=sharing"",""งบพรบ!BF35"")"),0)</f>
        <v>0</v>
      </c>
      <c r="N124" s="93">
        <f ca="1">IFERROR(__xludf.DUMMYFUNCTION("IMPORTRANGE(""https://docs.google.com/spreadsheets/d/1MeEWN-I1oV_STSDYn1IFDPWt_1FKiwhDph83XaGc0o0/edit?usp=sharing"",""งบพรบ!BH35"")"),0)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IFERROR(__xludf.DUMMYFUNCTION("IMPORTRANGE(""https://docs.google.com/spreadsheets/d/1MeEWN-I1oV_STSDYn1IFDPWt_1FKiwhDph83XaGc0o0/edit?usp=sharing"",""งบพรบ!BD35"")"),0)</f>
        <v>0</v>
      </c>
      <c r="M127" s="93">
        <f ca="1">IFERROR(__xludf.DUMMYFUNCTION("IMPORTRANGE(""https://docs.google.com/spreadsheets/d/1MeEWN-I1oV_STSDYn1IFDPWt_1FKiwhDph83XaGc0o0/edit?usp=sharing"",""งบพรบ!BG35"")"),0)</f>
        <v>0</v>
      </c>
      <c r="N127" s="93">
        <f ca="1">IFERROR(__xludf.DUMMYFUNCTION("IMPORTRANGE(""https://docs.google.com/spreadsheets/d/1MeEWN-I1oV_STSDYn1IFDPWt_1FKiwhDph83XaGc0o0/edit?usp=sharing"",""งบพรบ!BI35"")"),0)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IFERROR(__xludf.DUMMYFUNCTION("IMPORTRANGE(""https://docs.google.com/spreadsheets/d/1MeEWN-I1oV_STSDYn1IFDPWt_1FKiwhDph83XaGc0o0/edit?usp=sharing"",""งบพรบ!BK35"")"),0)</f>
        <v>0</v>
      </c>
      <c r="M137" s="93">
        <f ca="1">IFERROR(__xludf.DUMMYFUNCTION("IMPORTRANGE(""https://docs.google.com/spreadsheets/d/1MeEWN-I1oV_STSDYn1IFDPWt_1FKiwhDph83XaGc0o0/edit?usp=sharing"",""งบพรบ!BP35"")"),0)</f>
        <v>0</v>
      </c>
      <c r="N137" s="93">
        <f ca="1">IFERROR(__xludf.DUMMYFUNCTION("IMPORTRANGE(""https://docs.google.com/spreadsheets/d/1MeEWN-I1oV_STSDYn1IFDPWt_1FKiwhDph83XaGc0o0/edit?usp=sharing"",""งบพรบ!BR35"")"),0)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IFERROR(__xludf.DUMMYFUNCTION("IMPORTRANGE(""https://docs.google.com/spreadsheets/d/1MeEWN-I1oV_STSDYn1IFDPWt_1FKiwhDph83XaGc0o0/edit?usp=sharing"",""งบพรบ!BN35"")"),0)</f>
        <v>0</v>
      </c>
      <c r="M140" s="93">
        <f ca="1">IFERROR(__xludf.DUMMYFUNCTION("IMPORTRANGE(""https://docs.google.com/spreadsheets/d/1MeEWN-I1oV_STSDYn1IFDPWt_1FKiwhDph83XaGc0o0/edit?usp=sharing"",""งบพรบ!BQ35"")"),0)</f>
        <v>0</v>
      </c>
      <c r="N140" s="93">
        <f ca="1">IFERROR(__xludf.DUMMYFUNCTION("IMPORTRANGE(""https://docs.google.com/spreadsheets/d/1MeEWN-I1oV_STSDYn1IFDPWt_1FKiwhDph83XaGc0o0/edit?usp=sharing"",""งบพรบ!BS35"")"),0)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IFERROR(__xludf.DUMMYFUNCTION("IMPORTRANGE(""https://docs.google.com/spreadsheets/d/1MeEWN-I1oV_STSDYn1IFDPWt_1FKiwhDph83XaGc0o0/edit?usp=sharing"",""งบพรบ!BU35"")"),0)</f>
        <v>0</v>
      </c>
      <c r="M154" s="93">
        <f ca="1">IFERROR(__xludf.DUMMYFUNCTION("IMPORTRANGE(""https://docs.google.com/spreadsheets/d/1MeEWN-I1oV_STSDYn1IFDPWt_1FKiwhDph83XaGc0o0/edit?usp=sharing"",""งบพรบ!BZ35"")"),0)</f>
        <v>0</v>
      </c>
      <c r="N154" s="93">
        <f ca="1">IFERROR(__xludf.DUMMYFUNCTION("IMPORTRANGE(""https://docs.google.com/spreadsheets/d/1MeEWN-I1oV_STSDYn1IFDPWt_1FKiwhDph83XaGc0o0/edit?usp=sharing"",""งบพรบ!CB35"")"),0)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IFERROR(__xludf.DUMMYFUNCTION("IMPORTRANGE(""https://docs.google.com/spreadsheets/d/1MeEWN-I1oV_STSDYn1IFDPWt_1FKiwhDph83XaGc0o0/edit?usp=sharing"",""งบพรบ!BX35"")"),0)</f>
        <v>0</v>
      </c>
      <c r="M157" s="93">
        <f ca="1">IFERROR(__xludf.DUMMYFUNCTION("IMPORTRANGE(""https://docs.google.com/spreadsheets/d/1MeEWN-I1oV_STSDYn1IFDPWt_1FKiwhDph83XaGc0o0/edit?usp=sharing"",""งบพรบ!CA35"")"),0)</f>
        <v>0</v>
      </c>
      <c r="N157" s="93">
        <f ca="1">IFERROR(__xludf.DUMMYFUNCTION("IMPORTRANGE(""https://docs.google.com/spreadsheets/d/1MeEWN-I1oV_STSDYn1IFDPWt_1FKiwhDph83XaGc0o0/edit?usp=sharing"",""งบพรบ!CC35"")"),0)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IFERROR(__xludf.DUMMYFUNCTION("IMPORTRANGE(""https://docs.google.com/spreadsheets/d/1QqKyyYR6Q21VydFLVH3TRQUabQu_ym0Zz7PgGX0-kHA/edit?usp=sharing"",""แผน!X35"")"),0)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IFERROR(__xludf.DUMMYFUNCTION("IMPORTRANGE(""https://docs.google.com/spreadsheets/d/1MeEWN-I1oV_STSDYn1IFDPWt_1FKiwhDph83XaGc0o0/edit?usp=sharing"",""งบพรบ!CE35"")"),22055)</f>
        <v>22055</v>
      </c>
      <c r="M170" s="93">
        <f ca="1">IFERROR(__xludf.DUMMYFUNCTION("IMPORTRANGE(""https://docs.google.com/spreadsheets/d/1MeEWN-I1oV_STSDYn1IFDPWt_1FKiwhDph83XaGc0o0/edit?usp=sharing"",""งบพรบ!CJ35"")"),22055)</f>
        <v>22055</v>
      </c>
      <c r="N170" s="93">
        <f ca="1">IFERROR(__xludf.DUMMYFUNCTION("IMPORTRANGE(""https://docs.google.com/spreadsheets/d/1MeEWN-I1oV_STSDYn1IFDPWt_1FKiwhDph83XaGc0o0/edit?usp=sharing"",""งบพรบ!CL35"")"),22055)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IFERROR(__xludf.DUMMYFUNCTION("IMPORTRANGE(""https://docs.google.com/spreadsheets/d/1MeEWN-I1oV_STSDYn1IFDPWt_1FKiwhDph83XaGc0o0/edit?usp=sharing"",""งบพรบ!CH35"")"),0)</f>
        <v>0</v>
      </c>
      <c r="M173" s="93">
        <f ca="1">IFERROR(__xludf.DUMMYFUNCTION("IMPORTRANGE(""https://docs.google.com/spreadsheets/d/1MeEWN-I1oV_STSDYn1IFDPWt_1FKiwhDph83XaGc0o0/edit?usp=sharing"",""งบพรบ!CK35"")"),0)</f>
        <v>0</v>
      </c>
      <c r="N173" s="93">
        <f ca="1">IFERROR(__xludf.DUMMYFUNCTION("IMPORTRANGE(""https://docs.google.com/spreadsheets/d/1MeEWN-I1oV_STSDYn1IFDPWt_1FKiwhDph83XaGc0o0/edit?usp=sharing"",""งบพรบ!CM35"")"),0)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IFERROR(__xludf.DUMMYFUNCTION("IMPORTRANGE(""https://docs.google.com/spreadsheets/d/1QqKyyYR6Q21VydFLVH3TRQUabQu_ym0Zz7PgGX0-kHA/edit?usp=sharing"",""แผน!Y35"")"),11)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65500</v>
      </c>
      <c r="M181" s="155">
        <f t="shared" ca="1" si="92"/>
        <v>60500</v>
      </c>
      <c r="N181" s="155">
        <f t="shared" ca="1" si="92"/>
        <v>32940</v>
      </c>
      <c r="O181" s="155">
        <f t="shared" ref="O181:O189" ca="1" si="93">IF(L181&gt;0,N181*100/L181,0)</f>
        <v>50.290076335877863</v>
      </c>
      <c r="P181" s="155">
        <f t="shared" ref="P181:P189" ca="1" si="94">IF(M181&gt;0,N181*100/M181,0)</f>
        <v>54.446280991735534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65500</v>
      </c>
      <c r="M183" s="93">
        <f t="shared" ca="1" si="95"/>
        <v>60500</v>
      </c>
      <c r="N183" s="93">
        <f t="shared" ca="1" si="95"/>
        <v>32940</v>
      </c>
      <c r="O183" s="93">
        <f t="shared" ca="1" si="93"/>
        <v>50.290076335877863</v>
      </c>
      <c r="P183" s="93">
        <f t="shared" ca="1" si="94"/>
        <v>54.446280991735534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65500</v>
      </c>
      <c r="M184" s="497">
        <f t="shared" ca="1" si="96"/>
        <v>60500</v>
      </c>
      <c r="N184" s="497">
        <f t="shared" ca="1" si="96"/>
        <v>32940</v>
      </c>
      <c r="O184" s="497">
        <f t="shared" ca="1" si="93"/>
        <v>50.290076335877863</v>
      </c>
      <c r="P184" s="497">
        <f t="shared" ca="1" si="94"/>
        <v>54.446280991735534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IFERROR(__xludf.DUMMYFUNCTION("IMPORTRANGE(""https://docs.google.com/spreadsheets/d/1MeEWN-I1oV_STSDYn1IFDPWt_1FKiwhDph83XaGc0o0/edit?usp=sharing"",""งบพรบ!CO35"")"),65500)</f>
        <v>65500</v>
      </c>
      <c r="M186" s="93">
        <f ca="1">IFERROR(__xludf.DUMMYFUNCTION("IMPORTRANGE(""https://docs.google.com/spreadsheets/d/1MeEWN-I1oV_STSDYn1IFDPWt_1FKiwhDph83XaGc0o0/edit?usp=sharing"",""งบพรบ!CT35"")"),60500)</f>
        <v>60500</v>
      </c>
      <c r="N186" s="93">
        <f ca="1">IFERROR(__xludf.DUMMYFUNCTION("IMPORTRANGE(""https://docs.google.com/spreadsheets/d/1MeEWN-I1oV_STSDYn1IFDPWt_1FKiwhDph83XaGc0o0/edit?usp=sharing"",""งบพรบ!CV35"")"),32940)</f>
        <v>32940</v>
      </c>
      <c r="O186" s="93">
        <f t="shared" ca="1" si="93"/>
        <v>50.290076335877863</v>
      </c>
      <c r="P186" s="93">
        <f t="shared" ca="1" si="94"/>
        <v>54.446280991735534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IFERROR(__xludf.DUMMYFUNCTION("IMPORTRANGE(""https://docs.google.com/spreadsheets/d/1MeEWN-I1oV_STSDYn1IFDPWt_1FKiwhDph83XaGc0o0/edit?usp=sharing"",""งบพรบ!CR35"")"),0)</f>
        <v>0</v>
      </c>
      <c r="M189" s="93">
        <f ca="1">IFERROR(__xludf.DUMMYFUNCTION("IMPORTRANGE(""https://docs.google.com/spreadsheets/d/1MeEWN-I1oV_STSDYn1IFDPWt_1FKiwhDph83XaGc0o0/edit?usp=sharing"",""งบพรบ!CU35"")"),0)</f>
        <v>0</v>
      </c>
      <c r="N189" s="93">
        <f ca="1">IFERROR(__xludf.DUMMYFUNCTION("IMPORTRANGE(""https://docs.google.com/spreadsheets/d/1MeEWN-I1oV_STSDYn1IFDPWt_1FKiwhDph83XaGc0o0/edit?usp=sharing"",""งบพรบ!CW35"")"),0)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IFERROR(__xludf.DUMMYFUNCTION("IMPORTRANGE(""https://docs.google.com/spreadsheets/d/1QqKyyYR6Q21VydFLVH3TRQUabQu_ym0Zz7PgGX0-kHA/edit?usp=sharing"",""แผน!Z35"")"),6000)</f>
        <v>6000</v>
      </c>
      <c r="M191" s="155"/>
      <c r="N191" s="276">
        <v>940</v>
      </c>
      <c r="O191" s="155">
        <f ca="1">IF(L191&gt;0,N191*100/L191,0)</f>
        <v>15.666666666666666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24000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IFERROR(__xludf.DUMMYFUNCTION("IMPORTRANGE(""https://docs.google.com/spreadsheets/d/1QqKyyYR6Q21VydFLVH3TRQUabQu_ym0Zz7PgGX0-kHA/edit?usp=sharing"",""แผน!AE35"")"),3000)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IFERROR(__xludf.DUMMYFUNCTION("IMPORTRANGE(""https://docs.google.com/spreadsheets/d/1QqKyyYR6Q21VydFLVH3TRQUabQu_ym0Zz7PgGX0-kHA/edit?usp=sharing"",""แผน!AG35"")"),12000)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IFERROR(__xludf.DUMMYFUNCTION("IMPORTRANGE(""https://docs.google.com/spreadsheets/d/1QqKyyYR6Q21VydFLVH3TRQUabQu_ym0Zz7PgGX0-kHA/edit?usp=sharing"",""แผน!AH35"")"),0)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IFERROR(__xludf.DUMMYFUNCTION("IMPORTRANGE(""https://docs.google.com/spreadsheets/d/1QqKyyYR6Q21VydFLVH3TRQUabQu_ym0Zz7PgGX0-kHA/edit?usp=sharing"",""แผน!AK35"")"),1000)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IFERROR(__xludf.DUMMYFUNCTION("IMPORTRANGE(""https://docs.google.com/spreadsheets/d/1QqKyyYR6Q21VydFLVH3TRQUabQu_ym0Zz7PgGX0-kHA/edit?usp=sharing"",""แผน!AL35"")"),5000)</f>
        <v>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IFERROR(__xludf.DUMMYFUNCTION("IMPORTRANGE(""https://docs.google.com/spreadsheets/d/1QqKyyYR6Q21VydFLVH3TRQUabQu_ym0Zz7PgGX0-kHA/edit?usp=sharing"",""แผน!AM35"")"),8000)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IFERROR(__xludf.DUMMYFUNCTION("IMPORTRANGE(""https://docs.google.com/spreadsheets/d/1QqKyyYR6Q21VydFLVH3TRQUabQu_ym0Zz7PgGX0-kHA/edit?usp=sharing"",""แผน!AN35"")"),1)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IFERROR(__xludf.DUMMYFUNCTION("IMPORTRANGE(""https://docs.google.com/spreadsheets/d/1QqKyyYR6Q21VydFLVH3TRQUabQu_ym0Zz7PgGX0-kHA/edit?usp=sharing"",""แผน!AN35"")"),1)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IFERROR(__xludf.DUMMYFUNCTION("IMPORTRANGE(""https://docs.google.com/spreadsheets/d/1QqKyyYR6Q21VydFLVH3TRQUabQu_ym0Zz7PgGX0-kHA/edit?usp=sharing"",""แผน!AQ35"")"),3500)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IFERROR(__xludf.DUMMYFUNCTION("IMPORTRANGE(""https://docs.google.com/spreadsheets/d/1QqKyyYR6Q21VydFLVH3TRQUabQu_ym0Zz7PgGX0-kHA/edit?usp=sharing"",""แผน!AT35"")"),10000)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IFERROR(__xludf.DUMMYFUNCTION("IMPORTRANGE(""https://docs.google.com/spreadsheets/d/1QqKyyYR6Q21VydFLVH3TRQUabQu_ym0Zz7PgGX0-kHA/edit?usp=sharing"",""แผน!AT35"")"),10000)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IFERROR(__xludf.DUMMYFUNCTION("IMPORTRANGE(""https://docs.google.com/spreadsheets/d/1QqKyyYR6Q21VydFLVH3TRQUabQu_ym0Zz7PgGX0-kHA/edit?usp=sharing"",""แผน!AV35"")"),0)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IFERROR(__xludf.DUMMYFUNCTION("IMPORTRANGE(""https://docs.google.com/spreadsheets/d/1QqKyyYR6Q21VydFLVH3TRQUabQu_ym0Zz7PgGX0-kHA/edit?usp=sharing"",""แผน!AW35"")"),0)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IFERROR(__xludf.DUMMYFUNCTION("IMPORTRANGE(""https://docs.google.com/spreadsheets/d/1QqKyyYR6Q21VydFLVH3TRQUabQu_ym0Zz7PgGX0-kHA/edit?usp=sharing"",""แผน!AX35"")"),0)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IFERROR(__xludf.DUMMYFUNCTION("IMPORTRANGE(""https://docs.google.com/spreadsheets/d/1QqKyyYR6Q21VydFLVH3TRQUabQu_ym0Zz7PgGX0-kHA/edit?usp=sharing"",""แผน!AY35"")"),0)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169900</v>
      </c>
      <c r="M261" s="155">
        <f t="shared" ca="1" si="116"/>
        <v>127900</v>
      </c>
      <c r="N261" s="155">
        <f t="shared" ca="1" si="116"/>
        <v>110591.51</v>
      </c>
      <c r="O261" s="155">
        <f t="shared" ref="O261:O269" ca="1" si="117">IF(L261&gt;0,N261*100/L261,0)</f>
        <v>65.092118893466747</v>
      </c>
      <c r="P261" s="155">
        <f t="shared" ref="P261:P269" ca="1" si="118">IF(M261&gt;0,N261*100/M261,0)</f>
        <v>86.467169663799837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169900</v>
      </c>
      <c r="M263" s="93">
        <f t="shared" ca="1" si="119"/>
        <v>127900</v>
      </c>
      <c r="N263" s="93">
        <f t="shared" ca="1" si="119"/>
        <v>110591.51</v>
      </c>
      <c r="O263" s="93">
        <f t="shared" ca="1" si="117"/>
        <v>65.092118893466747</v>
      </c>
      <c r="P263" s="93">
        <f t="shared" ca="1" si="118"/>
        <v>86.467169663799837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169900</v>
      </c>
      <c r="M264" s="497">
        <f t="shared" ca="1" si="120"/>
        <v>127900</v>
      </c>
      <c r="N264" s="497">
        <f t="shared" ca="1" si="120"/>
        <v>110591.51</v>
      </c>
      <c r="O264" s="497">
        <f t="shared" ca="1" si="117"/>
        <v>65.092118893466747</v>
      </c>
      <c r="P264" s="497">
        <f t="shared" ca="1" si="118"/>
        <v>86.467169663799837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IFERROR(__xludf.DUMMYFUNCTION("IMPORTRANGE(""https://docs.google.com/spreadsheets/d/1MeEWN-I1oV_STSDYn1IFDPWt_1FKiwhDph83XaGc0o0/edit?usp=sharing"",""งบพรบ!CY35"")"),169900)</f>
        <v>169900</v>
      </c>
      <c r="M266" s="93">
        <f ca="1">IFERROR(__xludf.DUMMYFUNCTION("IMPORTRANGE(""https://docs.google.com/spreadsheets/d/1MeEWN-I1oV_STSDYn1IFDPWt_1FKiwhDph83XaGc0o0/edit?usp=sharing"",""งบพรบ!DD35"")"),127900)</f>
        <v>127900</v>
      </c>
      <c r="N266" s="93">
        <f ca="1">IFERROR(__xludf.DUMMYFUNCTION("IMPORTRANGE(""https://docs.google.com/spreadsheets/d/1MeEWN-I1oV_STSDYn1IFDPWt_1FKiwhDph83XaGc0o0/edit?usp=sharing"",""งบพรบ!DF35"")"),110591.51)</f>
        <v>110591.51</v>
      </c>
      <c r="O266" s="93">
        <f t="shared" ca="1" si="117"/>
        <v>65.092118893466747</v>
      </c>
      <c r="P266" s="93">
        <f t="shared" ca="1" si="118"/>
        <v>86.467169663799837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IFERROR(__xludf.DUMMYFUNCTION("IMPORTRANGE(""https://docs.google.com/spreadsheets/d/1MeEWN-I1oV_STSDYn1IFDPWt_1FKiwhDph83XaGc0o0/edit?usp=sharing"",""งบพรบ!DB35"")"),0)</f>
        <v>0</v>
      </c>
      <c r="M269" s="93">
        <f ca="1">IFERROR(__xludf.DUMMYFUNCTION("IMPORTRANGE(""https://docs.google.com/spreadsheets/d/1MeEWN-I1oV_STSDYn1IFDPWt_1FKiwhDph83XaGc0o0/edit?usp=sharing"",""งบพรบ!DE35"")"),0)</f>
        <v>0</v>
      </c>
      <c r="N269" s="93">
        <f ca="1">IFERROR(__xludf.DUMMYFUNCTION("IMPORTRANGE(""https://docs.google.com/spreadsheets/d/1MeEWN-I1oV_STSDYn1IFDPWt_1FKiwhDph83XaGc0o0/edit?usp=sharing"",""งบพรบ!DG35"")"),0)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14010</v>
      </c>
      <c r="O277" s="155">
        <f t="shared" ref="O277:O285" ca="1" si="126">IF(L277&gt;0,N277*100/L277,0)</f>
        <v>34.162399414776885</v>
      </c>
      <c r="P277" s="155">
        <f t="shared" ref="P277:P285" ca="1" si="127">IF(M277&gt;0,N277*100/M277,0)</f>
        <v>63.826879271070617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14010</v>
      </c>
      <c r="O279" s="93">
        <f t="shared" ca="1" si="126"/>
        <v>34.162399414776885</v>
      </c>
      <c r="P279" s="93">
        <f t="shared" ca="1" si="127"/>
        <v>63.826879271070617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14010</v>
      </c>
      <c r="O280" s="497">
        <f t="shared" ca="1" si="126"/>
        <v>34.162399414776885</v>
      </c>
      <c r="P280" s="497">
        <f t="shared" ca="1" si="127"/>
        <v>63.826879271070617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IFERROR(__xludf.DUMMYFUNCTION("IMPORTRANGE(""https://docs.google.com/spreadsheets/d/1MeEWN-I1oV_STSDYn1IFDPWt_1FKiwhDph83XaGc0o0/edit?usp=sharing"",""งบพรบ!DI35"")"),41010)</f>
        <v>41010</v>
      </c>
      <c r="M282" s="93">
        <f ca="1">IFERROR(__xludf.DUMMYFUNCTION("IMPORTRANGE(""https://docs.google.com/spreadsheets/d/1MeEWN-I1oV_STSDYn1IFDPWt_1FKiwhDph83XaGc0o0/edit?usp=sharing"",""งบพรบ!DN35"")"),21950)</f>
        <v>21950</v>
      </c>
      <c r="N282" s="93">
        <f ca="1">IFERROR(__xludf.DUMMYFUNCTION("IMPORTRANGE(""https://docs.google.com/spreadsheets/d/1MeEWN-I1oV_STSDYn1IFDPWt_1FKiwhDph83XaGc0o0/edit?usp=sharing"",""งบพรบ!DP35"")"),14010)</f>
        <v>14010</v>
      </c>
      <c r="O282" s="93">
        <f t="shared" ca="1" si="126"/>
        <v>34.162399414776885</v>
      </c>
      <c r="P282" s="93">
        <f t="shared" ca="1" si="127"/>
        <v>63.826879271070617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IFERROR(__xludf.DUMMYFUNCTION("IMPORTRANGE(""https://docs.google.com/spreadsheets/d/1MeEWN-I1oV_STSDYn1IFDPWt_1FKiwhDph83XaGc0o0/edit?usp=sharing"",""งบพรบ!DL35"")"),0)</f>
        <v>0</v>
      </c>
      <c r="M285" s="93">
        <f ca="1">IFERROR(__xludf.DUMMYFUNCTION("IMPORTRANGE(""https://docs.google.com/spreadsheets/d/1MeEWN-I1oV_STSDYn1IFDPWt_1FKiwhDph83XaGc0o0/edit?usp=sharing"",""งบพรบ!DO35"")"),0)</f>
        <v>0</v>
      </c>
      <c r="N285" s="93">
        <f ca="1">IFERROR(__xludf.DUMMYFUNCTION("IMPORTRANGE(""https://docs.google.com/spreadsheets/d/1MeEWN-I1oV_STSDYn1IFDPWt_1FKiwhDph83XaGc0o0/edit?usp=sharing"",""งบพรบ!DQ35"")"),0)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IFERROR(__xludf.DUMMYFUNCTION("IMPORTRANGE(""https://docs.google.com/spreadsheets/d/1QqKyyYR6Q21VydFLVH3TRQUabQu_ym0Zz7PgGX0-kHA/edit?usp=sharing"",""แผน!EC35"")"),100)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IFERROR(__xludf.DUMMYFUNCTION("IMPORTRANGE(""https://docs.google.com/spreadsheets/d/1QqKyyYR6Q21VydFLVH3TRQUabQu_ym0Zz7PgGX0-kHA/edit?usp=sharing"",""แผน!EB35"")"),10)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IFERROR(__xludf.DUMMYFUNCTION("IMPORTRANGE(""https://docs.google.com/spreadsheets/d/1QqKyyYR6Q21VydFLVH3TRQUabQu_ym0Zz7PgGX0-kHA/edit?usp=sharing"",""แผน!EB35"")"),10)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IFERROR(__xludf.DUMMYFUNCTION("IMPORTRANGE(""https://docs.google.com/spreadsheets/d/1QqKyyYR6Q21VydFLVH3TRQUabQu_ym0Zz7PgGX0-kHA/edit?usp=sharing"",""แผน!EB35"")"),10)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IFERROR(__xludf.DUMMYFUNCTION("IMPORTRANGE(""https://docs.google.com/spreadsheets/d/1QqKyyYR6Q21VydFLVH3TRQUabQu_ym0Zz7PgGX0-kHA/edit?usp=sharing"",""แผน!EB35"")"),10)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IFERROR(__xludf.DUMMYFUNCTION("IMPORTRANGE(""https://docs.google.com/spreadsheets/d/1QqKyyYR6Q21VydFLVH3TRQUabQu_ym0Zz7PgGX0-kHA/edit?usp=sharing"",""แผน!EB35"")"),10)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50300</v>
      </c>
      <c r="N298" s="155">
        <f t="shared" ca="1" si="135"/>
        <v>50250</v>
      </c>
      <c r="O298" s="155">
        <f t="shared" ref="O298:O306" ca="1" si="136">IF(L298&gt;0,N298*100/L298,0)</f>
        <v>78.761755485893417</v>
      </c>
      <c r="P298" s="155">
        <f t="shared" ref="P298:P306" ca="1" si="137">IF(M298&gt;0,N298*100/M298,0)</f>
        <v>99.900596421471178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63800</v>
      </c>
      <c r="M300" s="93">
        <f t="shared" ca="1" si="138"/>
        <v>50300</v>
      </c>
      <c r="N300" s="93">
        <f t="shared" ca="1" si="138"/>
        <v>50250</v>
      </c>
      <c r="O300" s="93">
        <f t="shared" ca="1" si="136"/>
        <v>78.761755485893417</v>
      </c>
      <c r="P300" s="93">
        <f t="shared" ca="1" si="137"/>
        <v>99.900596421471178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50300</v>
      </c>
      <c r="N301" s="497">
        <f t="shared" ca="1" si="139"/>
        <v>50250</v>
      </c>
      <c r="O301" s="497">
        <f t="shared" ca="1" si="136"/>
        <v>78.761755485893417</v>
      </c>
      <c r="P301" s="497">
        <f t="shared" ca="1" si="137"/>
        <v>99.900596421471178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IFERROR(__xludf.DUMMYFUNCTION("IMPORTRANGE(""https://docs.google.com/spreadsheets/d/1MeEWN-I1oV_STSDYn1IFDPWt_1FKiwhDph83XaGc0o0/edit?usp=sharing"",""งบพรบ!DS35"")"),63800)</f>
        <v>63800</v>
      </c>
      <c r="M303" s="93">
        <f ca="1">IFERROR(__xludf.DUMMYFUNCTION("IMPORTRANGE(""https://docs.google.com/spreadsheets/d/1MeEWN-I1oV_STSDYn1IFDPWt_1FKiwhDph83XaGc0o0/edit?usp=sharing"",""งบพรบ!DX35"")"),50300)</f>
        <v>50300</v>
      </c>
      <c r="N303" s="93">
        <f ca="1">IFERROR(__xludf.DUMMYFUNCTION("IMPORTRANGE(""https://docs.google.com/spreadsheets/d/1MeEWN-I1oV_STSDYn1IFDPWt_1FKiwhDph83XaGc0o0/edit?usp=sharing"",""งบพรบ!DZ35"")"),50250)</f>
        <v>50250</v>
      </c>
      <c r="O303" s="93">
        <f t="shared" ca="1" si="136"/>
        <v>78.761755485893417</v>
      </c>
      <c r="P303" s="93">
        <f t="shared" ca="1" si="137"/>
        <v>99.900596421471178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IFERROR(__xludf.DUMMYFUNCTION("IMPORTRANGE(""https://docs.google.com/spreadsheets/d/1MeEWN-I1oV_STSDYn1IFDPWt_1FKiwhDph83XaGc0o0/edit?usp=sharing"",""งบพรบ!DV35"")"),0)</f>
        <v>0</v>
      </c>
      <c r="M306" s="93">
        <f ca="1">IFERROR(__xludf.DUMMYFUNCTION("IMPORTRANGE(""https://docs.google.com/spreadsheets/d/1MeEWN-I1oV_STSDYn1IFDPWt_1FKiwhDph83XaGc0o0/edit?usp=sharing"",""งบพรบ!DY35"")"),0)</f>
        <v>0</v>
      </c>
      <c r="N306" s="93">
        <f ca="1">IFERROR(__xludf.DUMMYFUNCTION("IMPORTRANGE(""https://docs.google.com/spreadsheets/d/1MeEWN-I1oV_STSDYn1IFDPWt_1FKiwhDph83XaGc0o0/edit?usp=sharing"",""งบพรบ!EA35"")"),0)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IFERROR(__xludf.DUMMYFUNCTION("IMPORTRANGE(""https://docs.google.com/spreadsheets/d/1QqKyyYR6Q21VydFLVH3TRQUabQu_ym0Zz7PgGX0-kHA/edit?usp=sharing"",""แผน!ED35"")"),15)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IFERROR(__xludf.DUMMYFUNCTION("IMPORTRANGE(""https://docs.google.com/spreadsheets/d/1QqKyyYR6Q21VydFLVH3TRQUabQu_ym0Zz7PgGX0-kHA/edit?usp=sharing"",""แผน!ED35"")"),15)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IFERROR(__xludf.DUMMYFUNCTION("IMPORTRANGE(""https://docs.google.com/spreadsheets/d/1QqKyyYR6Q21VydFLVH3TRQUabQu_ym0Zz7PgGX0-kHA/edit?usp=sharing"",""แผน!ED35"")"),15)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IFERROR(__xludf.DUMMYFUNCTION("IMPORTRANGE(""https://docs.google.com/spreadsheets/d/1QqKyyYR6Q21VydFLVH3TRQUabQu_ym0Zz7PgGX0-kHA/edit?usp=sharing"",""แผน!EE35"")"),3)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IFERROR(__xludf.DUMMYFUNCTION("IMPORTRANGE(""https://docs.google.com/spreadsheets/d/1MeEWN-I1oV_STSDYn1IFDPWt_1FKiwhDph83XaGc0o0/edit?usp=sharing"",""งบพรบ!EC35"")"),0)</f>
        <v>0</v>
      </c>
      <c r="M320" s="93">
        <f ca="1">IFERROR(__xludf.DUMMYFUNCTION("IMPORTRANGE(""https://docs.google.com/spreadsheets/d/1MeEWN-I1oV_STSDYn1IFDPWt_1FKiwhDph83XaGc0o0/edit?usp=sharing"",""งบพรบ!EH35"")"),0)</f>
        <v>0</v>
      </c>
      <c r="N320" s="93">
        <f ca="1">IFERROR(__xludf.DUMMYFUNCTION("IMPORTRANGE(""https://docs.google.com/spreadsheets/d/1MeEWN-I1oV_STSDYn1IFDPWt_1FKiwhDph83XaGc0o0/edit?usp=sharing"",""งบพรบ!EJ35"")"),0)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IFERROR(__xludf.DUMMYFUNCTION("IMPORTRANGE(""https://docs.google.com/spreadsheets/d/1MeEWN-I1oV_STSDYn1IFDPWt_1FKiwhDph83XaGc0o0/edit?usp=sharing"",""งบพรบ!EF35"")"),0)</f>
        <v>0</v>
      </c>
      <c r="M323" s="93">
        <f ca="1">IFERROR(__xludf.DUMMYFUNCTION("IMPORTRANGE(""https://docs.google.com/spreadsheets/d/1MeEWN-I1oV_STSDYn1IFDPWt_1FKiwhDph83XaGc0o0/edit?usp=sharing"",""งบพรบ!EI35"")"),0)</f>
        <v>0</v>
      </c>
      <c r="N323" s="93">
        <f ca="1">IFERROR(__xludf.DUMMYFUNCTION("IMPORTRANGE(""https://docs.google.com/spreadsheets/d/1MeEWN-I1oV_STSDYn1IFDPWt_1FKiwhDph83XaGc0o0/edit?usp=sharing"",""งบพรบ!EK35"")"),0)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IFERROR(__xludf.DUMMYFUNCTION("IMPORTRANGE(""https://docs.google.com/spreadsheets/d/1QqKyyYR6Q21VydFLVH3TRQUabQu_ym0Zz7PgGX0-kHA/edit?usp=sharing"",""แผน!EG35"")"),1300)</f>
        <v>1300</v>
      </c>
      <c r="J327" s="444">
        <f ca="1">J338+J341+J342+J343</f>
        <v>1175</v>
      </c>
      <c r="K327" s="445">
        <f ca="1">IF(I327&gt;0,J327*100/I327,0)</f>
        <v>90.384615384615387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71838.570000000007</v>
      </c>
      <c r="O328" s="155">
        <f t="shared" ref="O328:O336" ca="1" si="150">IF(L328&gt;0,N328*100/L328,0)</f>
        <v>42.257982352941184</v>
      </c>
      <c r="P328" s="155">
        <f t="shared" ref="P328:P336" ca="1" si="151">IF(M328&gt;0,N328*100/M328,0)</f>
        <v>55.26043846153847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71838.570000000007</v>
      </c>
      <c r="O330" s="93">
        <f t="shared" ca="1" si="150"/>
        <v>42.257982352941184</v>
      </c>
      <c r="P330" s="93">
        <f t="shared" ca="1" si="151"/>
        <v>55.26043846153847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71838.570000000007</v>
      </c>
      <c r="O331" s="497">
        <f t="shared" ca="1" si="150"/>
        <v>42.257982352941184</v>
      </c>
      <c r="P331" s="497">
        <f t="shared" ca="1" si="151"/>
        <v>55.26043846153847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IFERROR(__xludf.DUMMYFUNCTION("IMPORTRANGE(""https://docs.google.com/spreadsheets/d/1MeEWN-I1oV_STSDYn1IFDPWt_1FKiwhDph83XaGc0o0/edit?usp=sharing"",""งบพรบ!EM35"")"),170000)</f>
        <v>170000</v>
      </c>
      <c r="M333" s="93">
        <f ca="1">IFERROR(__xludf.DUMMYFUNCTION("IMPORTRANGE(""https://docs.google.com/spreadsheets/d/1MeEWN-I1oV_STSDYn1IFDPWt_1FKiwhDph83XaGc0o0/edit?usp=sharing"",""งบพรบ!ER35"")"),130000)</f>
        <v>130000</v>
      </c>
      <c r="N333" s="93">
        <f ca="1">IFERROR(__xludf.DUMMYFUNCTION("IMPORTRANGE(""https://docs.google.com/spreadsheets/d/1MeEWN-I1oV_STSDYn1IFDPWt_1FKiwhDph83XaGc0o0/edit?usp=sharing"",""งบพรบ!ET35"")"),71838.57)</f>
        <v>71838.570000000007</v>
      </c>
      <c r="O333" s="93">
        <f t="shared" ca="1" si="150"/>
        <v>42.257982352941184</v>
      </c>
      <c r="P333" s="93">
        <f t="shared" ca="1" si="151"/>
        <v>55.26043846153847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IFERROR(__xludf.DUMMYFUNCTION("IMPORTRANGE(""https://docs.google.com/spreadsheets/d/1MeEWN-I1oV_STSDYn1IFDPWt_1FKiwhDph83XaGc0o0/edit?usp=sharing"",""งบพรบ!EP35"")"),0)</f>
        <v>0</v>
      </c>
      <c r="M336" s="93">
        <f ca="1">IFERROR(__xludf.DUMMYFUNCTION("IMPORTRANGE(""https://docs.google.com/spreadsheets/d/1MeEWN-I1oV_STSDYn1IFDPWt_1FKiwhDph83XaGc0o0/edit?usp=sharing"",""งบพรบ!ES35"")"),0)</f>
        <v>0</v>
      </c>
      <c r="N336" s="93">
        <f ca="1">IFERROR(__xludf.DUMMYFUNCTION("IMPORTRANGE(""https://docs.google.com/spreadsheets/d/1MeEWN-I1oV_STSDYn1IFDPWt_1FKiwhDph83XaGc0o0/edit?usp=sharing"",""งบพรบ!EU35"")"),0)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IFERROR(__xludf.DUMMYFUNCTION("IMPORTRANGE(""https://docs.google.com/spreadsheets/d/1QqKyyYR6Q21VydFLVH3TRQUabQu_ym0Zz7PgGX0-kHA/edit?usp=sharing"",""แผน!EG35"")"),1300)</f>
        <v>1300</v>
      </c>
      <c r="J338" s="270">
        <f ca="1">IFERROR(__xludf.DUMMYFUNCTION("IMPORTRANGE(""https://docs.google.com/spreadsheets/d/1kVcqe37tkHyjCSG3S0O1AXqVkqjo8mSIZil3BcpIysc/edit?usp=sharing"",""ศูนย์!D35"")"),1057)</f>
        <v>1057</v>
      </c>
      <c r="K338" s="497">
        <f ca="1">IF(I338&gt;0,J338*100/I338,0)</f>
        <v>81.307692307692307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IFERROR(__xludf.DUMMYFUNCTION("IMPORTRANGE(""https://docs.google.com/spreadsheets/d/1QqKyyYR6Q21VydFLVH3TRQUabQu_ym0Zz7PgGX0-kHA/edit?usp=sharing"",""แผน!EH35"")"),6)</f>
        <v>6</v>
      </c>
      <c r="J340" s="270">
        <f ca="1">IFERROR(__xludf.DUMMYFUNCTION("IMPORTRANGE(""https://docs.google.com/spreadsheets/d/1kVcqe37tkHyjCSG3S0O1AXqVkqjo8mSIZil3BcpIysc/edit?usp=sharing"",""ศูนย์!E35"")"),2)</f>
        <v>2</v>
      </c>
      <c r="K340" s="497">
        <f ca="1">IF(I340&gt;0,J340*100/I340,0)</f>
        <v>33.333333333333336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IFERROR(__xludf.DUMMYFUNCTION("IMPORTRANGE(""https://docs.google.com/spreadsheets/d/1kVcqe37tkHyjCSG3S0O1AXqVkqjo8mSIZil3BcpIysc/edit?usp=sharing"",""ศูนย์!F35"")"),118)</f>
        <v>118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752470</v>
      </c>
      <c r="M345" s="155">
        <f t="shared" ca="1" si="155"/>
        <v>637560</v>
      </c>
      <c r="N345" s="155">
        <f t="shared" ca="1" si="155"/>
        <v>442026.16</v>
      </c>
      <c r="O345" s="155">
        <f t="shared" ref="O345:O353" ca="1" si="156">IF(L345&gt;0,N345*100/L345,0)</f>
        <v>58.743359868167502</v>
      </c>
      <c r="P345" s="155">
        <f t="shared" ref="P345:P353" ca="1" si="157">IF(M345&gt;0,N345*100/M345,0)</f>
        <v>69.330911600476824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752470</v>
      </c>
      <c r="M347" s="93">
        <f t="shared" ca="1" si="158"/>
        <v>637560</v>
      </c>
      <c r="N347" s="93">
        <f t="shared" ca="1" si="158"/>
        <v>442026.16</v>
      </c>
      <c r="O347" s="93">
        <f t="shared" ca="1" si="156"/>
        <v>58.743359868167502</v>
      </c>
      <c r="P347" s="93">
        <f t="shared" ca="1" si="157"/>
        <v>69.330911600476824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616870</v>
      </c>
      <c r="M348" s="497">
        <f t="shared" ca="1" si="159"/>
        <v>506160</v>
      </c>
      <c r="N348" s="497">
        <f t="shared" ca="1" si="159"/>
        <v>310626.15999999997</v>
      </c>
      <c r="O348" s="497">
        <f t="shared" ca="1" si="156"/>
        <v>50.355206121224889</v>
      </c>
      <c r="P348" s="497">
        <f t="shared" ca="1" si="157"/>
        <v>61.369163900742841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IFERROR(__xludf.DUMMYFUNCTION("IMPORTRANGE(""https://docs.google.com/spreadsheets/d/1MeEWN-I1oV_STSDYn1IFDPWt_1FKiwhDph83XaGc0o0/edit?usp=sharing"",""งบพรบ!EW35"")"),616870)</f>
        <v>616870</v>
      </c>
      <c r="M350" s="93">
        <f ca="1">IFERROR(__xludf.DUMMYFUNCTION("IMPORTRANGE(""https://docs.google.com/spreadsheets/d/1MeEWN-I1oV_STSDYn1IFDPWt_1FKiwhDph83XaGc0o0/edit?usp=sharing"",""งบพรบ!FB35"")"),506160)</f>
        <v>506160</v>
      </c>
      <c r="N350" s="93">
        <f ca="1">IFERROR(__xludf.DUMMYFUNCTION("IMPORTRANGE(""https://docs.google.com/spreadsheets/d/1MeEWN-I1oV_STSDYn1IFDPWt_1FKiwhDph83XaGc0o0/edit?usp=sharing"",""งบพรบ!FD35"")"),310626.16)</f>
        <v>310626.15999999997</v>
      </c>
      <c r="O350" s="93">
        <f t="shared" ca="1" si="156"/>
        <v>50.355206121224889</v>
      </c>
      <c r="P350" s="93">
        <f t="shared" ca="1" si="157"/>
        <v>61.369163900742841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131400</v>
      </c>
      <c r="N351" s="497">
        <f t="shared" ca="1" si="160"/>
        <v>131400</v>
      </c>
      <c r="O351" s="497">
        <f t="shared" ca="1" si="156"/>
        <v>96.902654867256643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IFERROR(__xludf.DUMMYFUNCTION("IMPORTRANGE(""https://docs.google.com/spreadsheets/d/1MeEWN-I1oV_STSDYn1IFDPWt_1FKiwhDph83XaGc0o0/edit?usp=sharing"",""งบพรบ!EZ35"")"),135600)</f>
        <v>135600</v>
      </c>
      <c r="M353" s="93">
        <f ca="1">IFERROR(__xludf.DUMMYFUNCTION("IMPORTRANGE(""https://docs.google.com/spreadsheets/d/1MeEWN-I1oV_STSDYn1IFDPWt_1FKiwhDph83XaGc0o0/edit?usp=sharing"",""งบพรบ!FC35"")"),131400)</f>
        <v>131400</v>
      </c>
      <c r="N353" s="93">
        <f ca="1">IFERROR(__xludf.DUMMYFUNCTION("IMPORTRANGE(""https://docs.google.com/spreadsheets/d/1MeEWN-I1oV_STSDYn1IFDPWt_1FKiwhDph83XaGc0o0/edit?usp=sharing"",""งบพรบ!FE35"")"),131400)</f>
        <v>131400</v>
      </c>
      <c r="O353" s="93">
        <f t="shared" ca="1" si="156"/>
        <v>96.902654867256643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IFERROR(__xludf.DUMMYFUNCTION("IMPORTRANGE(""https://docs.google.com/spreadsheets/d/1QqKyyYR6Q21VydFLVH3TRQUabQu_ym0Zz7PgGX0-kHA/edit?usp=sharing"",""แผน!EP35"")"),230)</f>
        <v>230</v>
      </c>
      <c r="J355" s="464">
        <f ca="1">J362</f>
        <v>199</v>
      </c>
      <c r="K355" s="465">
        <f ca="1">IF(I355&gt;0,J355*100/I355,0)</f>
        <v>86.521739130434781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IFERROR(__xludf.DUMMYFUNCTION("IMPORTRANGE(""https://docs.google.com/spreadsheets/d/1XWAQStnk-4SwqDmLtmXYiTMKHgktTP8We1SCoS47DrQ/edit?usp=sharing"",""จัดที่ดิน!W35"")"),195)</f>
        <v>195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IFERROR(__xludf.DUMMYFUNCTION("IMPORTRANGE(""https://docs.google.com/spreadsheets/d/1QqKyyYR6Q21VydFLVH3TRQUabQu_ym0Zz7PgGX0-kHA/edit?usp=sharing"",""แผน!EO35"")"),2300)</f>
        <v>2300</v>
      </c>
      <c r="J359" s="270">
        <f ca="1">IFERROR(__xludf.DUMMYFUNCTION("IMPORTRANGE(""https://docs.google.com/spreadsheets/d/1XWAQStnk-4SwqDmLtmXYiTMKHgktTP8We1SCoS47DrQ/edit?usp=sharing"",""จัดที่ดิน!X35"")"),1900.53)</f>
        <v>1900.53</v>
      </c>
      <c r="K359" s="497">
        <f t="shared" ca="1" si="161"/>
        <v>82.631739130434781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IFERROR(__xludf.DUMMYFUNCTION("IMPORTRANGE(""https://docs.google.com/spreadsheets/d/1QqKyyYR6Q21VydFLVH3TRQUabQu_ym0Zz7PgGX0-kHA/edit?usp=sharing"",""แผน!EP35"")"),230)</f>
        <v>230</v>
      </c>
      <c r="J360" s="270">
        <f ca="1">IFERROR(__xludf.DUMMYFUNCTION("IMPORTRANGE(""https://docs.google.com/spreadsheets/d/1XWAQStnk-4SwqDmLtmXYiTMKHgktTP8We1SCoS47DrQ/edit?usp=sharing"",""จัดที่ดิน!Y35"")"),199)</f>
        <v>199</v>
      </c>
      <c r="K360" s="497">
        <f t="shared" ca="1" si="161"/>
        <v>86.521739130434781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IFERROR(__xludf.DUMMYFUNCTION("IMPORTRANGE(""https://docs.google.com/spreadsheets/d/1XWAQStnk-4SwqDmLtmXYiTMKHgktTP8We1SCoS47DrQ/edit?usp=sharing"",""จัดที่ดิน!Z35"")"),1931.8)</f>
        <v>1931.8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IFERROR(__xludf.DUMMYFUNCTION("IMPORTRANGE(""https://docs.google.com/spreadsheets/d/1QqKyyYR6Q21VydFLVH3TRQUabQu_ym0Zz7PgGX0-kHA/edit?usp=sharing"",""แผน!EP35"")"),230)</f>
        <v>230</v>
      </c>
      <c r="J362" s="270">
        <f ca="1">IFERROR(__xludf.DUMMYFUNCTION("IMPORTRANGE(""https://docs.google.com/spreadsheets/d/1XWAQStnk-4SwqDmLtmXYiTMKHgktTP8We1SCoS47DrQ/edit?usp=sharing"",""จัดที่ดิน!AA35"")"),199)</f>
        <v>199</v>
      </c>
      <c r="K362" s="497">
        <f t="shared" ca="1" si="161"/>
        <v>86.521739130434781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IFERROR(__xludf.DUMMYFUNCTION("IMPORTRANGE(""https://docs.google.com/spreadsheets/d/1XWAQStnk-4SwqDmLtmXYiTMKHgktTP8We1SCoS47DrQ/edit?usp=sharing"",""จัดที่ดิน!AB35"")"),1931.8)</f>
        <v>1931.8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430</v>
      </c>
      <c r="J364" s="478">
        <f t="shared" ca="1" si="162"/>
        <v>462</v>
      </c>
      <c r="K364" s="479">
        <f t="shared" ca="1" si="161"/>
        <v>107.44186046511628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IFERROR(__xludf.DUMMYFUNCTION("IMPORTRANGE(""https://docs.google.com/spreadsheets/d/1QqKyyYR6Q21VydFLVH3TRQUabQu_ym0Zz7PgGX0-kHA/edit?usp=sharing"",""แผน!EJ35"")"),30)</f>
        <v>30</v>
      </c>
      <c r="J365" s="490">
        <f ca="1">J372</f>
        <v>39</v>
      </c>
      <c r="K365" s="491">
        <f t="shared" ca="1" si="161"/>
        <v>130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IFERROR(__xludf.DUMMYFUNCTION("IMPORTRANGE(""https://docs.google.com/spreadsheets/d/1XWAQStnk-4SwqDmLtmXYiTMKHgktTP8We1SCoS47DrQ/edit?usp=sharing"",""จัดที่ดิน!E35"")"),35)</f>
        <v>35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IFERROR(__xludf.DUMMYFUNCTION("IMPORTRANGE(""https://docs.google.com/spreadsheets/d/1QqKyyYR6Q21VydFLVH3TRQUabQu_ym0Zz7PgGX0-kHA/edit?usp=sharing"",""แผน!EI35"")"),300)</f>
        <v>300</v>
      </c>
      <c r="J369" s="270">
        <f ca="1">IFERROR(__xludf.DUMMYFUNCTION("IMPORTRANGE(""https://docs.google.com/spreadsheets/d/1XWAQStnk-4SwqDmLtmXYiTMKHgktTP8We1SCoS47DrQ/edit?usp=sharing"",""จัดที่ดิน!F35"")"),322.19)</f>
        <v>322.19</v>
      </c>
      <c r="K369" s="497">
        <f t="shared" ca="1" si="163"/>
        <v>107.39666666666666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IFERROR(__xludf.DUMMYFUNCTION("IMPORTRANGE(""https://docs.google.com/spreadsheets/d/1QqKyyYR6Q21VydFLVH3TRQUabQu_ym0Zz7PgGX0-kHA/edit?usp=sharing"",""แผน!EJ35"")"),30)</f>
        <v>30</v>
      </c>
      <c r="J370" s="270">
        <f ca="1">IFERROR(__xludf.DUMMYFUNCTION("IMPORTRANGE(""https://docs.google.com/spreadsheets/d/1XWAQStnk-4SwqDmLtmXYiTMKHgktTP8We1SCoS47DrQ/edit?usp=sharing"",""จัดที่ดิน!G35"")"),39)</f>
        <v>39</v>
      </c>
      <c r="K370" s="497">
        <f t="shared" ca="1" si="163"/>
        <v>130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IFERROR(__xludf.DUMMYFUNCTION("IMPORTRANGE(""https://docs.google.com/spreadsheets/d/1XWAQStnk-4SwqDmLtmXYiTMKHgktTP8We1SCoS47DrQ/edit?usp=sharing"",""จัดที่ดิน!H35"")"),351.9)</f>
        <v>351.9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IFERROR(__xludf.DUMMYFUNCTION("IMPORTRANGE(""https://docs.google.com/spreadsheets/d/1QqKyyYR6Q21VydFLVH3TRQUabQu_ym0Zz7PgGX0-kHA/edit?usp=sharing"",""แผน!EJ35"")"),30)</f>
        <v>30</v>
      </c>
      <c r="J372" s="270">
        <f ca="1">IFERROR(__xludf.DUMMYFUNCTION("IMPORTRANGE(""https://docs.google.com/spreadsheets/d/1XWAQStnk-4SwqDmLtmXYiTMKHgktTP8We1SCoS47DrQ/edit?usp=sharing"",""จัดที่ดิน!I35"")"),39)</f>
        <v>39</v>
      </c>
      <c r="K372" s="497">
        <f t="shared" ca="1" si="163"/>
        <v>130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IFERROR(__xludf.DUMMYFUNCTION("IMPORTRANGE(""https://docs.google.com/spreadsheets/d/1XWAQStnk-4SwqDmLtmXYiTMKHgktTP8We1SCoS47DrQ/edit?usp=sharing"",""จัดที่ดิน!J35"")"),351.9)</f>
        <v>351.9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IFERROR(__xludf.DUMMYFUNCTION("IMPORTRANGE(""https://docs.google.com/spreadsheets/d/1QqKyyYR6Q21VydFLVH3TRQUabQu_ym0Zz7PgGX0-kHA/edit?usp=sharing"",""แผน!EU35"")"),400)</f>
        <v>400</v>
      </c>
      <c r="J374" s="490">
        <f ca="1">J381</f>
        <v>423</v>
      </c>
      <c r="K374" s="491">
        <f t="shared" ca="1" si="163"/>
        <v>105.75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IFERROR(__xludf.DUMMYFUNCTION("IMPORTRANGE(""https://docs.google.com/spreadsheets/d/1XWAQStnk-4SwqDmLtmXYiTMKHgktTP8We1SCoS47DrQ/edit?usp=sharing"",""จัดที่ดิน!AH35"")"),160)</f>
        <v>160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IFERROR(__xludf.DUMMYFUNCTION("IMPORTRANGE(""https://docs.google.com/spreadsheets/d/1QqKyyYR6Q21VydFLVH3TRQUabQu_ym0Zz7PgGX0-kHA/edit?usp=sharing"",""แผน!ET35"")"),2000)</f>
        <v>2000</v>
      </c>
      <c r="J378" s="270">
        <f ca="1">IFERROR(__xludf.DUMMYFUNCTION("IMPORTRANGE(""https://docs.google.com/spreadsheets/d/1XWAQStnk-4SwqDmLtmXYiTMKHgktTP8We1SCoS47DrQ/edit?usp=sharing"",""จัดที่ดิน!AI35"")"),1578.34)</f>
        <v>1578.34</v>
      </c>
      <c r="K378" s="497">
        <f t="shared" ca="1" si="164"/>
        <v>78.917000000000002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IFERROR(__xludf.DUMMYFUNCTION("IMPORTRANGE(""https://docs.google.com/spreadsheets/d/1QqKyyYR6Q21VydFLVH3TRQUabQu_ym0Zz7PgGX0-kHA/edit?usp=sharing"",""แผน!EU35"")"),400)</f>
        <v>400</v>
      </c>
      <c r="J379" s="270">
        <f ca="1">IFERROR(__xludf.DUMMYFUNCTION("IMPORTRANGE(""https://docs.google.com/spreadsheets/d/1XWAQStnk-4SwqDmLtmXYiTMKHgktTP8We1SCoS47DrQ/edit?usp=sharing"",""จัดที่ดิน!AJ35"")"),423)</f>
        <v>423</v>
      </c>
      <c r="K379" s="497">
        <f t="shared" ca="1" si="164"/>
        <v>105.75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IFERROR(__xludf.DUMMYFUNCTION("IMPORTRANGE(""https://docs.google.com/spreadsheets/d/1XWAQStnk-4SwqDmLtmXYiTMKHgktTP8We1SCoS47DrQ/edit?usp=sharing"",""จัดที่ดิน!AK35"")"),5043.84)</f>
        <v>5043.84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IFERROR(__xludf.DUMMYFUNCTION("IMPORTRANGE(""https://docs.google.com/spreadsheets/d/1QqKyyYR6Q21VydFLVH3TRQUabQu_ym0Zz7PgGX0-kHA/edit?usp=sharing"",""แผน!EU35"")"),400)</f>
        <v>400</v>
      </c>
      <c r="J381" s="270">
        <f ca="1">IFERROR(__xludf.DUMMYFUNCTION("IMPORTRANGE(""https://docs.google.com/spreadsheets/d/1XWAQStnk-4SwqDmLtmXYiTMKHgktTP8We1SCoS47DrQ/edit?usp=sharing"",""จัดที่ดิน!AL35"")"),423)</f>
        <v>423</v>
      </c>
      <c r="K381" s="497">
        <f t="shared" ca="1" si="164"/>
        <v>105.75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IFERROR(__xludf.DUMMYFUNCTION("IMPORTRANGE(""https://docs.google.com/spreadsheets/d/1XWAQStnk-4SwqDmLtmXYiTMKHgktTP8We1SCoS47DrQ/edit?usp=sharing"",""จัดที่ดิน!AM35"")"),5014.44)</f>
        <v>5014.4399999999996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IFERROR(__xludf.DUMMYFUNCTION("IMPORTRANGE(""https://docs.google.com/spreadsheets/d/1QqKyyYR6Q21VydFLVH3TRQUabQu_ym0Zz7PgGX0-kHA/edit?usp=sharing"",""แผน!EW35"")"),30)</f>
        <v>30</v>
      </c>
      <c r="J385" s="504">
        <f ca="1">IFERROR(__xludf.DUMMYFUNCTION("IMPORTRANGE(""https://docs.google.com/spreadsheets/d/1XWAQStnk-4SwqDmLtmXYiTMKHgktTP8We1SCoS47DrQ/edit?usp=sharing"",""จัดที่ดิน!AP35"")"),35)</f>
        <v>35</v>
      </c>
      <c r="K385" s="505">
        <f ca="1">IF(I385&gt;0,J385*100/I385,0)</f>
        <v>116.66666666666667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IFERROR(__xludf.DUMMYFUNCTION("IMPORTRANGE(""https://docs.google.com/spreadsheets/d/1MeEWN-I1oV_STSDYn1IFDPWt_1FKiwhDph83XaGc0o0/edit?usp=sharing"",""งบพรบ!FG35"")"),0)</f>
        <v>0</v>
      </c>
      <c r="M394" s="93">
        <f ca="1">IFERROR(__xludf.DUMMYFUNCTION("IMPORTRANGE(""https://docs.google.com/spreadsheets/d/1MeEWN-I1oV_STSDYn1IFDPWt_1FKiwhDph83XaGc0o0/edit?usp=sharing"",""งบพรบ!FL35"")"),0)</f>
        <v>0</v>
      </c>
      <c r="N394" s="93">
        <f ca="1">IFERROR(__xludf.DUMMYFUNCTION("IMPORTRANGE(""https://docs.google.com/spreadsheets/d/1MeEWN-I1oV_STSDYn1IFDPWt_1FKiwhDph83XaGc0o0/edit?usp=sharing"",""งบพรบ!FN35"")"),0)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IFERROR(__xludf.DUMMYFUNCTION("IMPORTRANGE(""https://docs.google.com/spreadsheets/d/1MeEWN-I1oV_STSDYn1IFDPWt_1FKiwhDph83XaGc0o0/edit?usp=sharing"",""งบพรบ!FJ35"")"),0)</f>
        <v>0</v>
      </c>
      <c r="M397" s="93">
        <f ca="1">IFERROR(__xludf.DUMMYFUNCTION("IMPORTRANGE(""https://docs.google.com/spreadsheets/d/1MeEWN-I1oV_STSDYn1IFDPWt_1FKiwhDph83XaGc0o0/edit?usp=sharing"",""งบพรบ!FM35"")"),0)</f>
        <v>0</v>
      </c>
      <c r="N397" s="93">
        <f ca="1">IFERROR(__xludf.DUMMYFUNCTION("IMPORTRANGE(""https://docs.google.com/spreadsheets/d/1MeEWN-I1oV_STSDYn1IFDPWt_1FKiwhDph83XaGc0o0/edit?usp=sharing"",""งบพรบ!FO35"")"),0)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IFERROR(__xludf.DUMMYFUNCTION("IMPORTRANGE(""https://docs.google.com/spreadsheets/d/1MeEWN-I1oV_STSDYn1IFDPWt_1FKiwhDph83XaGc0o0/edit?usp=sharing"",""งบพรบ!FQ35"")"),0)</f>
        <v>0</v>
      </c>
      <c r="M407" s="93">
        <f ca="1">IFERROR(__xludf.DUMMYFUNCTION("IMPORTRANGE(""https://docs.google.com/spreadsheets/d/1MeEWN-I1oV_STSDYn1IFDPWt_1FKiwhDph83XaGc0o0/edit?usp=sharing"",""งบพรบ!FV35"")"),0)</f>
        <v>0</v>
      </c>
      <c r="N407" s="93">
        <f ca="1">IFERROR(__xludf.DUMMYFUNCTION("IMPORTRANGE(""https://docs.google.com/spreadsheets/d/1MeEWN-I1oV_STSDYn1IFDPWt_1FKiwhDph83XaGc0o0/edit?usp=sharing"",""งบพรบ!FX35"")"),0)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IFERROR(__xludf.DUMMYFUNCTION("IMPORTRANGE(""https://docs.google.com/spreadsheets/d/1MeEWN-I1oV_STSDYn1IFDPWt_1FKiwhDph83XaGc0o0/edit?usp=sharing"",""งบพรบ!FT35"")"),0)</f>
        <v>0</v>
      </c>
      <c r="M410" s="93">
        <f ca="1">IFERROR(__xludf.DUMMYFUNCTION("IMPORTRANGE(""https://docs.google.com/spreadsheets/d/1MeEWN-I1oV_STSDYn1IFDPWt_1FKiwhDph83XaGc0o0/edit?usp=sharing"",""งบพรบ!FW35"")"),0)</f>
        <v>0</v>
      </c>
      <c r="N410" s="93">
        <f ca="1">IFERROR(__xludf.DUMMYFUNCTION("IMPORTRANGE(""https://docs.google.com/spreadsheets/d/1MeEWN-I1oV_STSDYn1IFDPWt_1FKiwhDph83XaGc0o0/edit?usp=sharing"",""งบพรบ!FY35"")"),0)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2041444</v>
      </c>
      <c r="M414" s="552">
        <f t="shared" ca="1" si="181"/>
        <v>2041444</v>
      </c>
      <c r="N414" s="552">
        <f t="shared" si="181"/>
        <v>657941.37</v>
      </c>
      <c r="O414" s="552">
        <f ca="1">IF(L414&gt;0,N414*100/L414,0)</f>
        <v>32.229214712722957</v>
      </c>
      <c r="P414" s="552">
        <f ca="1">IF(M414&gt;0,N414*100/M414,0)</f>
        <v>32.229214712722957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104060</v>
      </c>
      <c r="M419" s="155">
        <f t="shared" ca="1" si="184"/>
        <v>104060</v>
      </c>
      <c r="N419" s="155">
        <f t="shared" si="184"/>
        <v>76405</v>
      </c>
      <c r="O419" s="155">
        <f t="shared" ref="O419:O424" ca="1" si="185">IF(L419&gt;0,N419*100/L419,0)</f>
        <v>73.423986161829717</v>
      </c>
      <c r="P419" s="155">
        <f t="shared" ref="P419:P424" ca="1" si="186">IF(M419&gt;0,N419*100/M419,0)</f>
        <v>73.423986161829717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104060</v>
      </c>
      <c r="M421" s="93">
        <f t="shared" ca="1" si="187"/>
        <v>104060</v>
      </c>
      <c r="N421" s="93">
        <f t="shared" si="187"/>
        <v>76405</v>
      </c>
      <c r="O421" s="93">
        <f t="shared" ca="1" si="185"/>
        <v>73.423986161829717</v>
      </c>
      <c r="P421" s="93">
        <f t="shared" ca="1" si="186"/>
        <v>73.423986161829717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104060</v>
      </c>
      <c r="M422" s="497">
        <f t="shared" ca="1" si="188"/>
        <v>104060</v>
      </c>
      <c r="N422" s="497">
        <f t="shared" si="188"/>
        <v>76405</v>
      </c>
      <c r="O422" s="497">
        <f t="shared" ca="1" si="185"/>
        <v>73.423986161829717</v>
      </c>
      <c r="P422" s="497">
        <f t="shared" ca="1" si="186"/>
        <v>73.423986161829717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IFERROR(__xludf.DUMMYFUNCTION("IMPORTRANGE(""https://docs.google.com/spreadsheets/d/1QqKyyYR6Q21VydFLVH3TRQUabQu_ym0Zz7PgGX0-kHA/edit?usp=sharing"",""แผน!EY35"")"),104060)</f>
        <v>104060</v>
      </c>
      <c r="M424" s="93">
        <f ca="1">L424</f>
        <v>104060</v>
      </c>
      <c r="N424" s="93">
        <f>N425+N426+N427+N428</f>
        <v>76405</v>
      </c>
      <c r="O424" s="93">
        <f t="shared" ca="1" si="185"/>
        <v>73.423986161829717</v>
      </c>
      <c r="P424" s="93">
        <f t="shared" ca="1" si="186"/>
        <v>73.423986161829717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39965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36440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80</v>
      </c>
      <c r="J443" s="568">
        <f t="shared" si="196"/>
        <v>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312680</v>
      </c>
      <c r="M444" s="195">
        <f t="shared" ca="1" si="197"/>
        <v>312680</v>
      </c>
      <c r="N444" s="195">
        <f t="shared" si="197"/>
        <v>121690.65</v>
      </c>
      <c r="O444" s="195">
        <f t="shared" ref="O444:O449" ca="1" si="198">IF(L444&gt;0,N444*100/L444,0)</f>
        <v>38.91859089164641</v>
      </c>
      <c r="P444" s="195">
        <f t="shared" ref="P444:P449" ca="1" si="199">IF(M444&gt;0,N444*100/M444,0)</f>
        <v>38.91859089164641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312680</v>
      </c>
      <c r="M446" s="93">
        <f t="shared" ca="1" si="200"/>
        <v>312680</v>
      </c>
      <c r="N446" s="93">
        <f t="shared" si="200"/>
        <v>121690.65</v>
      </c>
      <c r="O446" s="93">
        <f t="shared" ca="1" si="198"/>
        <v>38.91859089164641</v>
      </c>
      <c r="P446" s="93">
        <f t="shared" ca="1" si="199"/>
        <v>38.91859089164641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312680</v>
      </c>
      <c r="M447" s="497">
        <f t="shared" ca="1" si="201"/>
        <v>312680</v>
      </c>
      <c r="N447" s="497">
        <f t="shared" si="201"/>
        <v>121690.65</v>
      </c>
      <c r="O447" s="497">
        <f t="shared" ca="1" si="198"/>
        <v>38.91859089164641</v>
      </c>
      <c r="P447" s="497">
        <f t="shared" ca="1" si="199"/>
        <v>38.91859089164641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IFERROR(__xludf.DUMMYFUNCTION("IMPORTRANGE(""https://docs.google.com/spreadsheets/d/1QqKyyYR6Q21VydFLVH3TRQUabQu_ym0Zz7PgGX0-kHA/edit?usp=sharing"",""แผน!FJ35"")"),312680)</f>
        <v>312680</v>
      </c>
      <c r="M449" s="93">
        <f ca="1">L449</f>
        <v>312680</v>
      </c>
      <c r="N449" s="93">
        <f>N450+N451+N452+N453</f>
        <v>121690.65</v>
      </c>
      <c r="O449" s="93">
        <f t="shared" ca="1" si="198"/>
        <v>38.91859089164641</v>
      </c>
      <c r="P449" s="93">
        <f t="shared" ca="1" si="199"/>
        <v>38.91859089164641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20010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24100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77580.649999999994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IFERROR(__xludf.DUMMYFUNCTION("IMPORTRANGE(""https://docs.google.com/spreadsheets/d/1QqKyyYR6Q21VydFLVH3TRQUabQu_ym0Zz7PgGX0-kHA/edit?usp=sharing"",""แผน!FN35"")"),40)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IFERROR(__xludf.DUMMYFUNCTION("IMPORTRANGE(""https://docs.google.com/spreadsheets/d/1QqKyyYR6Q21VydFLVH3TRQUabQu_ym0Zz7PgGX0-kHA/edit?usp=sharing"",""แผน!FO35"")"),80)</f>
        <v>80</v>
      </c>
      <c r="J462" s="215">
        <v>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IFERROR(__xludf.DUMMYFUNCTION("IMPORTRANGE(""https://docs.google.com/spreadsheets/d/1QqKyyYR6Q21VydFLVH3TRQUabQu_ym0Zz7PgGX0-kHA/edit?usp=sharing"",""แผน!FO35"")"),80)</f>
        <v>80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IFERROR(__xludf.DUMMYFUNCTION("IMPORTRANGE(""https://docs.google.com/spreadsheets/d/1QqKyyYR6Q21VydFLVH3TRQUabQu_ym0Zz7PgGX0-kHA/edit?usp=sharing"",""แผน!FN35"")"),40)</f>
        <v>40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IFERROR(__xludf.DUMMYFUNCTION("IMPORTRANGE(""https://docs.google.com/spreadsheets/d/1QqKyyYR6Q21VydFLVH3TRQUabQu_ym0Zz7PgGX0-kHA/edit?usp=sharing"",""แผน!FX35"")"),131)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IFERROR(__xludf.DUMMYFUNCTION("IMPORTRANGE(""https://docs.google.com/spreadsheets/d/1QqKyyYR6Q21VydFLVH3TRQUabQu_ym0Zz7PgGX0-kHA/edit?usp=sharing"",""แผน!FW35"")"),1300)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1173398</v>
      </c>
      <c r="M467" s="195">
        <f t="shared" ca="1" si="206"/>
        <v>1173398</v>
      </c>
      <c r="N467" s="195">
        <f t="shared" si="206"/>
        <v>272843</v>
      </c>
      <c r="O467" s="195">
        <f t="shared" ref="O467:O472" ca="1" si="207">IF(L467&gt;0,N467*100/L467,0)</f>
        <v>23.252383249332283</v>
      </c>
      <c r="P467" s="195">
        <f t="shared" ref="P467:P472" ca="1" si="208">IF(M467&gt;0,N467*100/M467,0)</f>
        <v>23.252383249332283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1173398</v>
      </c>
      <c r="M469" s="93">
        <f t="shared" ca="1" si="209"/>
        <v>1173398</v>
      </c>
      <c r="N469" s="93">
        <f t="shared" si="209"/>
        <v>272843</v>
      </c>
      <c r="O469" s="93">
        <f t="shared" ca="1" si="207"/>
        <v>23.252383249332283</v>
      </c>
      <c r="P469" s="93">
        <f t="shared" ca="1" si="208"/>
        <v>23.252383249332283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1173398</v>
      </c>
      <c r="M470" s="497">
        <f t="shared" ca="1" si="210"/>
        <v>1173398</v>
      </c>
      <c r="N470" s="497">
        <f t="shared" si="210"/>
        <v>272843</v>
      </c>
      <c r="O470" s="497">
        <f t="shared" ca="1" si="207"/>
        <v>23.252383249332283</v>
      </c>
      <c r="P470" s="497">
        <f t="shared" ca="1" si="208"/>
        <v>23.252383249332283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IFERROR(__xludf.DUMMYFUNCTION("IMPORTRANGE(""https://docs.google.com/spreadsheets/d/1QqKyyYR6Q21VydFLVH3TRQUabQu_ym0Zz7PgGX0-kHA/edit?usp=sharing"",""แผน!FS35"")"),1173398)</f>
        <v>1173398</v>
      </c>
      <c r="M472" s="93">
        <f ca="1">L472</f>
        <v>1173398</v>
      </c>
      <c r="N472" s="93">
        <f>N473+N474+N475+N476</f>
        <v>272843</v>
      </c>
      <c r="O472" s="93">
        <f t="shared" ca="1" si="207"/>
        <v>23.252383249332283</v>
      </c>
      <c r="P472" s="93">
        <f t="shared" ca="1" si="208"/>
        <v>23.252383249332283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165023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78000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25820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126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IFERROR(__xludf.DUMMYFUNCTION("IMPORTRANGE(""https://docs.google.com/spreadsheets/d/1QqKyyYR6Q21VydFLVH3TRQUabQu_ym0Zz7PgGX0-kHA/edit?usp=sharing"",""แผน!FY35"")"),1170)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IFERROR(__xludf.DUMMYFUNCTION("IMPORTRANGE(""https://docs.google.com/spreadsheets/d/1QqKyyYR6Q21VydFLVH3TRQUabQu_ym0Zz7PgGX0-kHA/edit?usp=sharing"",""แผน!GA35"")"),130)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71012</v>
      </c>
      <c r="J543" s="685">
        <f t="shared" si="235"/>
        <v>48908</v>
      </c>
      <c r="K543" s="686">
        <f t="shared" ca="1" si="234"/>
        <v>68.87286655776488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432306</v>
      </c>
      <c r="M544" s="155">
        <f t="shared" ca="1" si="236"/>
        <v>432306</v>
      </c>
      <c r="N544" s="155">
        <f t="shared" si="236"/>
        <v>179193.72</v>
      </c>
      <c r="O544" s="155">
        <f t="shared" ref="O544:O549" ca="1" si="237">IF(L544&gt;0,N544*100/L544,0)</f>
        <v>41.45066688873159</v>
      </c>
      <c r="P544" s="155">
        <f t="shared" ref="P544:P549" ca="1" si="238">IF(M544&gt;0,N544*100/M544,0)</f>
        <v>41.45066688873159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432306</v>
      </c>
      <c r="M546" s="93">
        <f t="shared" ca="1" si="240"/>
        <v>432306</v>
      </c>
      <c r="N546" s="93">
        <f t="shared" si="240"/>
        <v>179193.72</v>
      </c>
      <c r="O546" s="93">
        <f t="shared" ca="1" si="237"/>
        <v>41.45066688873159</v>
      </c>
      <c r="P546" s="93">
        <f t="shared" ca="1" si="238"/>
        <v>41.45066688873159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432306</v>
      </c>
      <c r="M547" s="497">
        <f t="shared" ca="1" si="241"/>
        <v>432306</v>
      </c>
      <c r="N547" s="497">
        <f t="shared" si="241"/>
        <v>179193.72</v>
      </c>
      <c r="O547" s="497">
        <f t="shared" ca="1" si="237"/>
        <v>41.45066688873159</v>
      </c>
      <c r="P547" s="497">
        <f t="shared" ca="1" si="238"/>
        <v>41.45066688873159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IFERROR(__xludf.DUMMYFUNCTION("IMPORTRANGE(""https://docs.google.com/spreadsheets/d/1QqKyyYR6Q21VydFLVH3TRQUabQu_ym0Zz7PgGX0-kHA/edit?usp=sharing"",""แผน!HB35"")"),432306)</f>
        <v>432306</v>
      </c>
      <c r="M549" s="93">
        <f ca="1">L549</f>
        <v>432306</v>
      </c>
      <c r="N549" s="93">
        <f>N550+N551+N552+N553+N554</f>
        <v>179193.72</v>
      </c>
      <c r="O549" s="93">
        <f t="shared" ca="1" si="237"/>
        <v>41.45066688873159</v>
      </c>
      <c r="P549" s="93">
        <f t="shared" ca="1" si="238"/>
        <v>41.45066688873159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78000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101193.72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71012</v>
      </c>
      <c r="J559" s="706">
        <f t="shared" si="245"/>
        <v>48908</v>
      </c>
      <c r="K559" s="675">
        <f t="shared" ref="K559:K561" ca="1" si="246">IF(I559&gt;0,J559*100/I559,0)</f>
        <v>68.87286655776488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IFERROR(__xludf.DUMMYFUNCTION("IMPORTRANGE(""https://docs.google.com/spreadsheets/d/1QqKyyYR6Q21VydFLVH3TRQUabQu_ym0Zz7PgGX0-kHA/edit?usp=sharing"",""แผน!HH35"")"),71012)</f>
        <v>71012</v>
      </c>
      <c r="J560" s="193">
        <f t="shared" ref="J560:J561" si="247">J562+J564+J566</f>
        <v>71012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IFERROR(__xludf.DUMMYFUNCTION("IMPORTRANGE(""https://docs.google.com/spreadsheets/d/1QqKyyYR6Q21VydFLVH3TRQUabQu_ym0Zz7PgGX0-kHA/edit?usp=sharing"",""แผน!HG35"")"),6571)</f>
        <v>6571</v>
      </c>
      <c r="J561" s="193">
        <f t="shared" si="247"/>
        <v>6571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48908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5078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19333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1311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2771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IFERROR(__xludf.DUMMYFUNCTION("IMPORTRANGE(""https://docs.google.com/spreadsheets/d/1QqKyyYR6Q21VydFLVH3TRQUabQu_ym0Zz7PgGX0-kHA/edit?usp=sharing"",""แผน!HH35"")"),71012)</f>
        <v>71012</v>
      </c>
      <c r="J568" s="679">
        <f t="shared" ref="J568:J569" si="248">J570+J572+J574</f>
        <v>71012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IFERROR(__xludf.DUMMYFUNCTION("IMPORTRANGE(""https://docs.google.com/spreadsheets/d/1QqKyyYR6Q21VydFLVH3TRQUabQu_ym0Zz7PgGX0-kHA/edit?usp=sharing"",""แผน!HG35"")"),6571)</f>
        <v>6571</v>
      </c>
      <c r="J569" s="679">
        <f t="shared" si="248"/>
        <v>6571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48908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5078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19333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1311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2771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IFERROR(__xludf.DUMMYFUNCTION("IMPORTRANGE(""https://docs.google.com/spreadsheets/d/1QqKyyYR6Q21VydFLVH3TRQUabQu_ym0Zz7PgGX0-kHA/edit?usp=sharing"",""แผน!HH35"")"),71012)</f>
        <v>71012</v>
      </c>
      <c r="J576" s="679">
        <f t="shared" ref="J576:J577" si="250">J578+J580+J582+J588+J590</f>
        <v>48908</v>
      </c>
      <c r="K576" s="411">
        <f t="shared" ref="K576:K577" ca="1" si="251">IF(I576&gt;0,J576*100/I576,0)</f>
        <v>68.87286655776488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IFERROR(__xludf.DUMMYFUNCTION("IMPORTRANGE(""https://docs.google.com/spreadsheets/d/1QqKyyYR6Q21VydFLVH3TRQUabQu_ym0Zz7PgGX0-kHA/edit?usp=sharing"",""แผน!HG35"")"),6571)</f>
        <v>6571</v>
      </c>
      <c r="J577" s="679">
        <f t="shared" si="250"/>
        <v>5078</v>
      </c>
      <c r="K577" s="411">
        <f t="shared" ca="1" si="251"/>
        <v>77.278952975194031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48908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5078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3008.54</v>
      </c>
      <c r="J592" s="706">
        <f t="shared" si="253"/>
        <v>1917</v>
      </c>
      <c r="K592" s="675">
        <f t="shared" ref="K592:K594" ca="1" si="254">IF(I592&gt;0,J592*100/I592,0)</f>
        <v>63.718614344499329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IFERROR(__xludf.DUMMYFUNCTION("IMPORTRANGE(""https://docs.google.com/spreadsheets/d/1QqKyyYR6Q21VydFLVH3TRQUabQu_ym0Zz7PgGX0-kHA/edit?usp=sharing"",""แผน!HJ35"")"),3008.54)</f>
        <v>3008.54</v>
      </c>
      <c r="J593" s="193">
        <f t="shared" ref="J593:J594" si="255">J595+J603+J609</f>
        <v>1917</v>
      </c>
      <c r="K593" s="411">
        <f t="shared" ca="1" si="254"/>
        <v>63.718614344499329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IFERROR(__xludf.DUMMYFUNCTION("IMPORTRANGE(""https://docs.google.com/spreadsheets/d/1QqKyyYR6Q21VydFLVH3TRQUabQu_ym0Zz7PgGX0-kHA/edit?usp=sharing"",""แผน!HI35"")"),222)</f>
        <v>222</v>
      </c>
      <c r="J594" s="193">
        <f t="shared" si="255"/>
        <v>153</v>
      </c>
      <c r="K594" s="411">
        <f t="shared" ca="1" si="254"/>
        <v>68.918918918918919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1774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143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1771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143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143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IFERROR(__xludf.DUMMYFUNCTION("IMPORTRANGE(""https://docs.google.com/spreadsheets/d/1QqKyyYR6Q21VydFLVH3TRQUabQu_ym0Zz7PgGX0-kHA/edit?usp=sharing"",""แผน!HL35"")"),79)</f>
        <v>79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IFERROR(__xludf.DUMMYFUNCTION("IMPORTRANGE(""https://docs.google.com/spreadsheets/d/1QqKyyYR6Q21VydFLVH3TRQUabQu_ym0Zz7PgGX0-kHA/edit?usp=sharing"",""แผน!HK35"")"),4)</f>
        <v>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 hidden="1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 hidden="1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 hidden="1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 hidden="1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 hidden="1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 hidden="1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 hidden="1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 hidden="1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 hidden="1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 hidden="1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 hidden="1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 hidden="1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 hidden="1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IFERROR(__xludf.DUMMYFUNCTION("IMPORTRANGE(""https://docs.google.com/spreadsheets/d/1QqKyyYR6Q21VydFLVH3TRQUabQu_ym0Zz7PgGX0-kHA/edit?usp=sharing"",""แผน!HS35"")"),0)</f>
        <v>0</v>
      </c>
      <c r="J647" s="270">
        <f ca="1">IFERROR(__xludf.DUMMYFUNCTION("IMPORTRANGE(""https://docs.google.com/spreadsheets/d/1XWAQStnk-4SwqDmLtmXYiTMKHgktTP8We1SCoS47DrQ/edit?usp=sharing"",""จัดที่ดิน!AU35"")"),0)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 hidden="1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 hidden="1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IFERROR(__xludf.DUMMYFUNCTION("IMPORTRANGE(""https://docs.google.com/spreadsheets/d/1QqKyyYR6Q21VydFLVH3TRQUabQu_ym0Zz7PgGX0-kHA/edit?usp=sharing"",""แผน!HS35"")"),0)</f>
        <v>0</v>
      </c>
      <c r="J649" s="270">
        <f ca="1">IFERROR(__xludf.DUMMYFUNCTION("IMPORTRANGE(""https://docs.google.com/spreadsheets/d/1XWAQStnk-4SwqDmLtmXYiTMKHgktTP8We1SCoS47DrQ/edit?usp=sharing"",""จัดที่ดิน!AW35"")"),0)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 hidden="1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 hidden="1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IFERROR(__xludf.DUMMYFUNCTION("IMPORTRANGE(""https://docs.google.com/spreadsheets/d/1QqKyyYR6Q21VydFLVH3TRQUabQu_ym0Zz7PgGX0-kHA/edit?usp=sharing"",""แผน!HS35"")"),0)</f>
        <v>0</v>
      </c>
      <c r="J651" s="270">
        <f ca="1">IFERROR(__xludf.DUMMYFUNCTION("IMPORTRANGE(""https://docs.google.com/spreadsheets/d/1XWAQStnk-4SwqDmLtmXYiTMKHgktTP8We1SCoS47DrQ/edit?usp=sharing"",""จัดที่ดิน!AY35"")"),0)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IFERROR(__xludf.DUMMYFUNCTION("IMPORTRANGE(""https://docs.google.com/spreadsheets/d/1XWAQStnk-4SwqDmLtmXYiTMKHgktTP8We1SCoS47DrQ/edit?usp=sharing"",""จัดที่ดิน!AZ35"")"),0)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6809</v>
      </c>
      <c r="O655" s="195">
        <f t="shared" ref="O655:O660" ca="1" si="274">IF(L655&gt;0,N655*100/L655,0)</f>
        <v>61.9</v>
      </c>
      <c r="P655" s="195">
        <f t="shared" ref="P655:P660" ca="1" si="275">IF(M655&gt;0,N655*100/M655,0)</f>
        <v>61.9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6809</v>
      </c>
      <c r="O657" s="93">
        <f t="shared" ca="1" si="274"/>
        <v>61.9</v>
      </c>
      <c r="P657" s="93">
        <f t="shared" ca="1" si="275"/>
        <v>61.9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6809</v>
      </c>
      <c r="O658" s="497">
        <f t="shared" ca="1" si="274"/>
        <v>61.9</v>
      </c>
      <c r="P658" s="497">
        <f t="shared" ca="1" si="275"/>
        <v>61.9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IFERROR(__xludf.DUMMYFUNCTION("IMPORTRANGE(""https://docs.google.com/spreadsheets/d/1QqKyyYR6Q21VydFLVH3TRQUabQu_ym0Zz7PgGX0-kHA/edit?usp=sharing"",""แผน!HV35"")"),11000)</f>
        <v>11000</v>
      </c>
      <c r="M660" s="93">
        <f ca="1">L660</f>
        <v>11000</v>
      </c>
      <c r="N660" s="93">
        <f>N661+N662+N663+N664</f>
        <v>6809</v>
      </c>
      <c r="O660" s="93">
        <f t="shared" ca="1" si="274"/>
        <v>61.9</v>
      </c>
      <c r="P660" s="93">
        <f t="shared" ca="1" si="275"/>
        <v>61.9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6809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IFERROR(__xludf.DUMMYFUNCTION("IMPORTRANGE(""https://docs.google.com/spreadsheets/d/1QqKyyYR6Q21VydFLVH3TRQUabQu_ym0Zz7PgGX0-kHA/edit?usp=sharing"",""แผน!IA35"")"),50)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34</v>
      </c>
      <c r="K672" s="497">
        <f t="shared" ref="K672:K675" ca="1" si="281">IF(I$669&gt;0,J672*100/I$669,0)</f>
        <v>68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34</v>
      </c>
      <c r="K673" s="497">
        <f t="shared" ca="1" si="281"/>
        <v>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8000</v>
      </c>
      <c r="M685" s="195">
        <f t="shared" ca="1" si="282"/>
        <v>8000</v>
      </c>
      <c r="N685" s="195">
        <f t="shared" si="282"/>
        <v>1000</v>
      </c>
      <c r="O685" s="195">
        <f t="shared" ref="O685:O688" ca="1" si="283">IF(L685&gt;0,N685*100/L685,0)</f>
        <v>12.5</v>
      </c>
      <c r="P685" s="195">
        <f t="shared" ref="P685:P688" ca="1" si="284">IF(M685&gt;0,N685*100/M685,0)</f>
        <v>12.5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8000</v>
      </c>
      <c r="M687" s="93">
        <f t="shared" ca="1" si="285"/>
        <v>8000</v>
      </c>
      <c r="N687" s="93">
        <f t="shared" si="285"/>
        <v>1000</v>
      </c>
      <c r="O687" s="93">
        <f t="shared" ca="1" si="283"/>
        <v>12.5</v>
      </c>
      <c r="P687" s="93">
        <f t="shared" ca="1" si="284"/>
        <v>12.5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8000</v>
      </c>
      <c r="M688" s="497">
        <f t="shared" ca="1" si="286"/>
        <v>8000</v>
      </c>
      <c r="N688" s="497">
        <f t="shared" si="286"/>
        <v>1000</v>
      </c>
      <c r="O688" s="497">
        <f t="shared" ca="1" si="283"/>
        <v>12.5</v>
      </c>
      <c r="P688" s="497">
        <f t="shared" ca="1" si="284"/>
        <v>12.5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IFERROR(__xludf.DUMMYFUNCTION("IMPORTRANGE(""https://docs.google.com/spreadsheets/d/1QqKyyYR6Q21VydFLVH3TRQUabQu_ym0Zz7PgGX0-kHA/edit?usp=sharing"",""แผน!HW35"")"),8000)</f>
        <v>8000</v>
      </c>
      <c r="M690" s="93">
        <f ca="1">L690</f>
        <v>8000</v>
      </c>
      <c r="N690" s="93">
        <f>N691+N692+N693+N694</f>
        <v>1000</v>
      </c>
      <c r="O690" s="93">
        <f ca="1">IF(L690&gt;0,N690*100/L690,0)</f>
        <v>12.5</v>
      </c>
      <c r="P690" s="93">
        <f ca="1">IF(M690&gt;0,N690*100/M690,0)</f>
        <v>12.5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IFERROR(__xludf.DUMMYFUNCTION("IMPORTRANGE(""https://docs.google.com/spreadsheets/d/1QqKyyYR6Q21VydFLVH3TRQUabQu_ym0Zz7PgGX0-kHA/edit?usp=sharing"",""แผน!IC35"")"),70)</f>
        <v>70</v>
      </c>
      <c r="J699" s="270">
        <f ca="1">IFERROR(__xludf.DUMMYFUNCTION("IMPORTRANGE(""https://docs.google.com/spreadsheets/d/1XWAQStnk-4SwqDmLtmXYiTMKHgktTP8We1SCoS47DrQ/edit?usp=sharing"",""จัดที่ดิน!BB35"")"),0)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IFERROR(__xludf.DUMMYFUNCTION("IMPORTRANGE(""https://docs.google.com/spreadsheets/d/1QqKyyYR6Q21VydFLVH3TRQUabQu_ym0Zz7PgGX0-kHA/edit?usp=sharing"",""แผน!ID35"")"),0)</f>
        <v>0</v>
      </c>
      <c r="J700" s="270">
        <f ca="1">IFERROR(__xludf.DUMMYFUNCTION("IMPORTRANGE(""https://docs.google.com/spreadsheets/d/1XWAQStnk-4SwqDmLtmXYiTMKHgktTP8We1SCoS47DrQ/edit?usp=sharing"",""จัดที่ดิน!BD35"")"),0)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IFERROR(__xludf.DUMMYFUNCTION("IMPORTRANGE(""https://docs.google.com/spreadsheets/d/1QqKyyYR6Q21VydFLVH3TRQUabQu_ym0Zz7PgGX0-kHA/edit?usp=sharing"",""แผน!IE35"")"),0)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IFERROR(__xludf.DUMMYFUNCTION("IMPORTRANGE(""https://docs.google.com/spreadsheets/d/1QqKyyYR6Q21VydFLVH3TRQUabQu_ym0Zz7PgGX0-kHA/edit?usp=sharing"",""แผน!IG35"")"),0)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IFERROR(__xludf.DUMMYFUNCTION("IMPORTRANGE(""https://docs.google.com/spreadsheets/d/1QqKyyYR6Q21VydFLVH3TRQUabQu_ym0Zz7PgGX0-kHA/edit?usp=sharing"",""แผน!II35"")"),0)</f>
        <v>0</v>
      </c>
      <c r="J720" s="270">
        <f ca="1">IFERROR(__xludf.DUMMYFUNCTION("IMPORTRANGE(""https://docs.google.com/spreadsheets/d/1XWAQStnk-4SwqDmLtmXYiTMKHgktTP8We1SCoS47DrQ/edit?usp=sharing"",""จัดที่ดิน!BH35"")"),0)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IFERROR(__xludf.DUMMYFUNCTION("IMPORTRANGE(""https://docs.google.com/spreadsheets/d/1QqKyyYR6Q21VydFLVH3TRQUabQu_ym0Zz7PgGX0-kHA/edit?usp=sharing"",""แผน!IL35"")"),0)</f>
        <v>0</v>
      </c>
      <c r="J723" s="270">
        <f ca="1">IFERROR(__xludf.DUMMYFUNCTION("IMPORTRANGE(""https://docs.google.com/spreadsheets/d/1XWAQStnk-4SwqDmLtmXYiTMKHgktTP8We1SCoS47DrQ/edit?usp=sharing"",""จัดที่ดิน!BM35"")"),0)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IFERROR(__xludf.DUMMYFUNCTION("IMPORTRANGE(""https://docs.google.com/spreadsheets/d/1QqKyyYR6Q21VydFLVH3TRQUabQu_ym0Zz7PgGX0-kHA/edit?usp=sharing"",""แผน!IM35"")"),0)</f>
        <v>0</v>
      </c>
      <c r="J725" s="270">
        <f ca="1">IFERROR(__xludf.DUMMYFUNCTION("IMPORTRANGE(""https://docs.google.com/spreadsheets/d/1XWAQStnk-4SwqDmLtmXYiTMKHgktTP8We1SCoS47DrQ/edit?usp=sharing"",""จัดที่ดิน!BO35"")"),0)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IFERROR(__xludf.DUMMYFUNCTION("IMPORTRANGE(""https://docs.google.com/spreadsheets/d/1QqKyyYR6Q21VydFLVH3TRQUabQu_ym0Zz7PgGX0-kHA/edit?usp=sharing"",""แผน!IN35"")"),0)</f>
        <v>0</v>
      </c>
      <c r="J726" s="270">
        <f ca="1">IFERROR(__xludf.DUMMYFUNCTION("IMPORTRANGE(""https://docs.google.com/spreadsheets/d/1XWAQStnk-4SwqDmLtmXYiTMKHgktTP8We1SCoS47DrQ/edit?usp=sharing"",""จัดที่ดิน!BR35"")"),0)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IFERROR(__xludf.DUMMYFUNCTION("IMPORTRANGE(""https://docs.google.com/spreadsheets/d/1QqKyyYR6Q21VydFLVH3TRQUabQu_ym0Zz7PgGX0-kHA/edit?usp=sharing"",""แผน!IO35"")"),0)</f>
        <v>0</v>
      </c>
      <c r="J728" s="270">
        <f ca="1">IFERROR(__xludf.DUMMYFUNCTION("IMPORTRANGE(""https://docs.google.com/spreadsheets/d/1XWAQStnk-4SwqDmLtmXYiTMKHgktTP8We1SCoS47DrQ/edit?usp=sharing"",""จัดที่ดิน!BT35"")"),0)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IFERROR(__xludf.DUMMYFUNCTION("IMPORTRANGE(""https://docs.google.com/spreadsheets/d/1QqKyyYR6Q21VydFLVH3TRQUabQu_ym0Zz7PgGX0-kHA/edit?usp=sharing"",""แผน!JN35"")"),0)</f>
        <v>0</v>
      </c>
      <c r="J800" s="184">
        <f ca="1">IFERROR(__xludf.DUMMYFUNCTION("IMPORTRANGE(""https://docs.google.com/spreadsheets/d/1MaWodYyGHDf7siQLGxnXhG4mBNTNIuy296niS2xXulU/edit?usp=sharing"",""RTK!H35"")"),0)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IFERROR(__xludf.DUMMYFUNCTION("IMPORTRANGE(""https://docs.google.com/spreadsheets/d/1MaWodYyGHDf7siQLGxnXhG4mBNTNIuy296niS2xXulU/edit?usp=sharing"",""RTK!I35"")"),0)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270">
        <f ca="1">IFERROR(__xludf.DUMMYFUNCTION("IMPORTRANGE(""https://docs.google.com/spreadsheets/d/19vJNZY_5yjcGF2XGBMNZRCAIB0Kwfpjp8YEOfu-bneM/edit?usp=sharing"",""งานกองทุน!F35"")"),1900649.32)</f>
        <v>1900649.32</v>
      </c>
      <c r="K821" s="497">
        <f t="shared" ref="K821:K828" ca="1" si="335">IF(I821&gt;0,J821*100/I821,0)</f>
        <v>78.743913139738183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IFERROR(__xludf.DUMMYFUNCTION("IMPORTRANGE(""https://docs.google.com/spreadsheets/d/19vJNZY_5yjcGF2XGBMNZRCAIB0Kwfpjp8YEOfu-bneM/edit?usp=sharing"",""งานกองทุน!C35"")"),241)</f>
        <v>241</v>
      </c>
      <c r="J822" s="270">
        <f ca="1">IFERROR(__xludf.DUMMYFUNCTION("IMPORTRANGE(""https://docs.google.com/spreadsheets/d/19vJNZY_5yjcGF2XGBMNZRCAIB0Kwfpjp8YEOfu-bneM/edit?usp=sharing"",""งานกองทุน!E35"")"),195)</f>
        <v>195</v>
      </c>
      <c r="K822" s="497">
        <f t="shared" ca="1" si="335"/>
        <v>80.912863070539416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270">
        <f ca="1">IFERROR(__xludf.DUMMYFUNCTION("IMPORTRANGE(""https://docs.google.com/spreadsheets/d/19vJNZY_5yjcGF2XGBMNZRCAIB0Kwfpjp8YEOfu-bneM/edit?usp=sharing"",""งานกองทุน!K35"")"),283630.18)</f>
        <v>283630.18</v>
      </c>
      <c r="K823" s="497">
        <f t="shared" ca="1" si="335"/>
        <v>10.497936196180367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IFERROR(__xludf.DUMMYFUNCTION("IMPORTRANGE(""https://docs.google.com/spreadsheets/d/19vJNZY_5yjcGF2XGBMNZRCAIB0Kwfpjp8YEOfu-bneM/edit?usp=sharing"",""งานกองทุน!H35"")"),123)</f>
        <v>123</v>
      </c>
      <c r="J824" s="270">
        <f ca="1">IFERROR(__xludf.DUMMYFUNCTION("IMPORTRANGE(""https://docs.google.com/spreadsheets/d/19vJNZY_5yjcGF2XGBMNZRCAIB0Kwfpjp8YEOfu-bneM/edit?usp=sharing"",""งานกองทุน!J35"")"),67)</f>
        <v>67</v>
      </c>
      <c r="K824" s="497">
        <f t="shared" ca="1" si="335"/>
        <v>54.471544715447152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270">
        <f ca="1">IFERROR(__xludf.DUMMYFUNCTION("IMPORTRANGE(""https://docs.google.com/spreadsheets/d/19vJNZY_5yjcGF2XGBMNZRCAIB0Kwfpjp8YEOfu-bneM/edit?usp=sharing"",""งานกองทุน!P35"")"),135705.85)</f>
        <v>135705.85</v>
      </c>
      <c r="K825" s="497">
        <f t="shared" ca="1" si="335"/>
        <v>53.265537117001678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IFERROR(__xludf.DUMMYFUNCTION("IMPORTRANGE(""https://docs.google.com/spreadsheets/d/19vJNZY_5yjcGF2XGBMNZRCAIB0Kwfpjp8YEOfu-bneM/edit?usp=sharing"",""งานกองทุน!M35"")"),22)</f>
        <v>22</v>
      </c>
      <c r="J826" s="270">
        <f ca="1">IFERROR(__xludf.DUMMYFUNCTION("IMPORTRANGE(""https://docs.google.com/spreadsheets/d/19vJNZY_5yjcGF2XGBMNZRCAIB0Kwfpjp8YEOfu-bneM/edit?usp=sharing"",""งานกองทุน!O35"")"),10)</f>
        <v>10</v>
      </c>
      <c r="K826" s="497">
        <f t="shared" ca="1" si="335"/>
        <v>45.454545454545453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IFERROR(__xludf.DUMMYFUNCTION("IMPORTRANGE(""https://docs.google.com/spreadsheets/d/19vJNZY_5yjcGF2XGBMNZRCAIB0Kwfpjp8YEOfu-bneM/edit?usp=sharing"",""งานกองทุน!S35"")"),2500000)</f>
        <v>2500000</v>
      </c>
      <c r="J827" s="270">
        <f ca="1">IFERROR(__xludf.DUMMYFUNCTION("IMPORTRANGE(""https://docs.google.com/spreadsheets/d/19vJNZY_5yjcGF2XGBMNZRCAIB0Kwfpjp8YEOfu-bneM/edit?usp=sharing"",""งานกองทุน!U35"")"),2050000)</f>
        <v>2050000</v>
      </c>
      <c r="K827" s="497">
        <f t="shared" ca="1" si="335"/>
        <v>82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IFERROR(__xludf.DUMMYFUNCTION("IMPORTRANGE(""https://docs.google.com/spreadsheets/d/19vJNZY_5yjcGF2XGBMNZRCAIB0Kwfpjp8YEOfu-bneM/edit?usp=sharing"",""งานกองทุน!R35"")"),80)</f>
        <v>80</v>
      </c>
      <c r="J828" s="504">
        <f ca="1">IFERROR(__xludf.DUMMYFUNCTION("IMPORTRANGE(""https://docs.google.com/spreadsheets/d/19vJNZY_5yjcGF2XGBMNZRCAIB0Kwfpjp8YEOfu-bneM/edit?usp=sharing"",""งานกองทุน!T35"")"),63)</f>
        <v>63</v>
      </c>
      <c r="K828" s="505">
        <f t="shared" ca="1" si="335"/>
        <v>78.75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C2D07-4FEE-4C3C-B077-E80A6BA6E6E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7.85546875" bestFit="1" customWidth="1"/>
    <col min="10" max="10" width="16.140625" bestFit="1" customWidth="1"/>
    <col min="11" max="11" width="12.5703125" customWidth="1"/>
    <col min="12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12033382</v>
      </c>
      <c r="M8" s="22">
        <f t="shared" ca="1" si="0"/>
        <v>10933809</v>
      </c>
      <c r="N8" s="22">
        <f t="shared" ca="1" si="0"/>
        <v>6852123.5399999991</v>
      </c>
      <c r="O8" s="22">
        <f t="shared" ref="O8:O16" ca="1" si="1">IF(L8&gt;0,N8*100/L8,0)</f>
        <v>56.942624608775809</v>
      </c>
      <c r="P8" s="22">
        <f t="shared" ref="P8:P16" ca="1" si="2">IF(M8&gt;0,N8*100/M8,0)</f>
        <v>62.669135156833256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12033382</v>
      </c>
      <c r="M10" s="30">
        <f t="shared" ca="1" si="3"/>
        <v>10933809</v>
      </c>
      <c r="N10" s="30">
        <f t="shared" ca="1" si="3"/>
        <v>6852123.5399999991</v>
      </c>
      <c r="O10" s="30">
        <f t="shared" ca="1" si="1"/>
        <v>56.942624608775809</v>
      </c>
      <c r="P10" s="30">
        <f t="shared" ca="1" si="2"/>
        <v>62.669135156833256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11622082</v>
      </c>
      <c r="M11" s="497">
        <f t="shared" ca="1" si="4"/>
        <v>10522509</v>
      </c>
      <c r="N11" s="497">
        <f t="shared" ca="1" si="4"/>
        <v>6440823.5399999991</v>
      </c>
      <c r="O11" s="497">
        <f t="shared" ca="1" si="1"/>
        <v>55.418844403266114</v>
      </c>
      <c r="P11" s="497">
        <f t="shared" ca="1" si="2"/>
        <v>61.209959905950178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11622082</v>
      </c>
      <c r="M13" s="93">
        <f t="shared" ca="1" si="5"/>
        <v>10522509</v>
      </c>
      <c r="N13" s="93">
        <f t="shared" ca="1" si="5"/>
        <v>6440823.5399999991</v>
      </c>
      <c r="O13" s="93">
        <f t="shared" ca="1" si="1"/>
        <v>55.418844403266114</v>
      </c>
      <c r="P13" s="93">
        <f t="shared" ca="1" si="2"/>
        <v>61.209959905950178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411300</v>
      </c>
      <c r="M14" s="497">
        <f t="shared" ca="1" si="6"/>
        <v>411300</v>
      </c>
      <c r="N14" s="497">
        <f t="shared" ca="1" si="6"/>
        <v>411300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411300</v>
      </c>
      <c r="M16" s="52">
        <f t="shared" ca="1" si="7"/>
        <v>411300</v>
      </c>
      <c r="N16" s="52">
        <f t="shared" ca="1" si="7"/>
        <v>411300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6554092</v>
      </c>
      <c r="M18" s="22">
        <f t="shared" ca="1" si="8"/>
        <v>5458519</v>
      </c>
      <c r="N18" s="22">
        <f t="shared" ca="1" si="8"/>
        <v>3786896.9499999997</v>
      </c>
      <c r="O18" s="22">
        <f t="shared" ref="O18:O26" ca="1" si="9">IF(L18&gt;0,N18*100/L18,0)</f>
        <v>57.779124095298023</v>
      </c>
      <c r="P18" s="22">
        <f t="shared" ref="P18:P26" ca="1" si="10">IF(M18&gt;0,N18*100/M18,0)</f>
        <v>69.375904892883952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6554092</v>
      </c>
      <c r="M20" s="30">
        <f t="shared" ca="1" si="11"/>
        <v>5458519</v>
      </c>
      <c r="N20" s="30">
        <f t="shared" ca="1" si="11"/>
        <v>3786896.9499999997</v>
      </c>
      <c r="O20" s="30">
        <f t="shared" ca="1" si="9"/>
        <v>57.779124095298023</v>
      </c>
      <c r="P20" s="30">
        <f t="shared" ca="1" si="10"/>
        <v>69.375904892883952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6142792</v>
      </c>
      <c r="M21" s="497">
        <f t="shared" ca="1" si="12"/>
        <v>5047219</v>
      </c>
      <c r="N21" s="497">
        <f t="shared" ca="1" si="12"/>
        <v>3375596.9499999997</v>
      </c>
      <c r="O21" s="497">
        <f t="shared" ca="1" si="9"/>
        <v>54.952161004312046</v>
      </c>
      <c r="P21" s="497">
        <f t="shared" ca="1" si="10"/>
        <v>66.880334497076504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6142792</v>
      </c>
      <c r="M23" s="93">
        <f t="shared" ca="1" si="13"/>
        <v>5047219</v>
      </c>
      <c r="N23" s="93">
        <f t="shared" ca="1" si="13"/>
        <v>3375596.9499999997</v>
      </c>
      <c r="O23" s="93">
        <f t="shared" ca="1" si="9"/>
        <v>54.952161004312046</v>
      </c>
      <c r="P23" s="93">
        <f t="shared" ca="1" si="10"/>
        <v>66.880334497076504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411300</v>
      </c>
      <c r="M24" s="497">
        <f t="shared" ca="1" si="14"/>
        <v>411300</v>
      </c>
      <c r="N24" s="497">
        <f t="shared" ca="1" si="14"/>
        <v>411300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411300</v>
      </c>
      <c r="M26" s="52">
        <f t="shared" ca="1" si="15"/>
        <v>411300</v>
      </c>
      <c r="N26" s="52">
        <f t="shared" ca="1" si="15"/>
        <v>411300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5479290</v>
      </c>
      <c r="M28" s="22">
        <f t="shared" ca="1" si="16"/>
        <v>5475290</v>
      </c>
      <c r="N28" s="22">
        <f t="shared" si="16"/>
        <v>3065226.59</v>
      </c>
      <c r="O28" s="22">
        <f t="shared" ref="O28:O37" ca="1" si="17">IF(L28&gt;0,N28*100/L28,0)</f>
        <v>55.942039753325702</v>
      </c>
      <c r="P28" s="22">
        <f t="shared" ref="P28:P37" ca="1" si="18">IF(M28&gt;0,N28*100/M28,0)</f>
        <v>55.982908485212654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5479290</v>
      </c>
      <c r="M30" s="30">
        <f t="shared" ca="1" si="19"/>
        <v>5475290</v>
      </c>
      <c r="N30" s="30">
        <f t="shared" si="19"/>
        <v>3065226.59</v>
      </c>
      <c r="O30" s="30">
        <f t="shared" ca="1" si="17"/>
        <v>55.942039753325702</v>
      </c>
      <c r="P30" s="30">
        <f t="shared" ca="1" si="18"/>
        <v>55.982908485212654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5479290</v>
      </c>
      <c r="M31" s="497">
        <f t="shared" ca="1" si="20"/>
        <v>5475290</v>
      </c>
      <c r="N31" s="497">
        <f t="shared" si="20"/>
        <v>3065226.59</v>
      </c>
      <c r="O31" s="497">
        <f t="shared" ca="1" si="17"/>
        <v>55.942039753325702</v>
      </c>
      <c r="P31" s="497">
        <f t="shared" ca="1" si="18"/>
        <v>55.982908485212654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5479290</v>
      </c>
      <c r="M33" s="93">
        <f t="shared" ca="1" si="21"/>
        <v>5475290</v>
      </c>
      <c r="N33" s="93">
        <f t="shared" si="21"/>
        <v>3065226.59</v>
      </c>
      <c r="O33" s="93">
        <f t="shared" ca="1" si="17"/>
        <v>55.942039753325702</v>
      </c>
      <c r="P33" s="93">
        <f t="shared" ca="1" si="18"/>
        <v>55.982908485212654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6554092</v>
      </c>
      <c r="M37" s="870">
        <f t="shared" ca="1" si="24"/>
        <v>5458519</v>
      </c>
      <c r="N37" s="870">
        <f t="shared" ca="1" si="24"/>
        <v>3786896.9499999997</v>
      </c>
      <c r="O37" s="870">
        <f t="shared" ca="1" si="17"/>
        <v>57.779124095298023</v>
      </c>
      <c r="P37" s="870">
        <f t="shared" ca="1" si="18"/>
        <v>69.375904892883952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710292</v>
      </c>
      <c r="M41" s="85">
        <f t="shared" ca="1" si="25"/>
        <v>738754</v>
      </c>
      <c r="N41" s="85">
        <f t="shared" ca="1" si="25"/>
        <v>466688</v>
      </c>
      <c r="O41" s="85">
        <f t="shared" ref="O41:O49" ca="1" si="26">IF(L41&gt;0,N41*100/L41,0)</f>
        <v>65.703682429198139</v>
      </c>
      <c r="P41" s="85">
        <f t="shared" ref="P41:P49" ca="1" si="27">IF(M41&gt;0,N41*100/M41,0)</f>
        <v>63.172314464625572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710292</v>
      </c>
      <c r="M43" s="92">
        <f t="shared" ca="1" si="28"/>
        <v>738754</v>
      </c>
      <c r="N43" s="92">
        <f t="shared" ca="1" si="28"/>
        <v>466688</v>
      </c>
      <c r="O43" s="92">
        <f t="shared" ca="1" si="26"/>
        <v>65.703682429198139</v>
      </c>
      <c r="P43" s="92">
        <f t="shared" ca="1" si="27"/>
        <v>63.172314464625572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710292</v>
      </c>
      <c r="M44" s="497">
        <f t="shared" ca="1" si="29"/>
        <v>738754</v>
      </c>
      <c r="N44" s="497">
        <f t="shared" ca="1" si="29"/>
        <v>466688</v>
      </c>
      <c r="O44" s="497">
        <f t="shared" ca="1" si="26"/>
        <v>65.703682429198139</v>
      </c>
      <c r="P44" s="497">
        <f t="shared" ca="1" si="27"/>
        <v>63.172314464625572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IFERROR(__xludf.DUMMYFUNCTION("IMPORTRANGE(""https://docs.google.com/spreadsheets/d/1MeEWN-I1oV_STSDYn1IFDPWt_1FKiwhDph83XaGc0o0/edit?usp=sharing"",""งบพรบ!M36"")"),710292)</f>
        <v>710292</v>
      </c>
      <c r="M46" s="93">
        <f ca="1">IFERROR(__xludf.DUMMYFUNCTION("IMPORTRANGE(""https://docs.google.com/spreadsheets/d/1MeEWN-I1oV_STSDYn1IFDPWt_1FKiwhDph83XaGc0o0/edit?usp=sharing"",""งบพรบ!R36"")"),738754)</f>
        <v>738754</v>
      </c>
      <c r="N46" s="93">
        <f ca="1">IFERROR(__xludf.DUMMYFUNCTION("IMPORTRANGE(""https://docs.google.com/spreadsheets/d/1MeEWN-I1oV_STSDYn1IFDPWt_1FKiwhDph83XaGc0o0/edit?usp=sharing"",""งบพรบ!T36"")"),466688)</f>
        <v>466688</v>
      </c>
      <c r="O46" s="93">
        <f t="shared" ca="1" si="26"/>
        <v>65.703682429198139</v>
      </c>
      <c r="P46" s="93">
        <f t="shared" ca="1" si="27"/>
        <v>63.172314464625572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IFERROR(__xludf.DUMMYFUNCTION("IMPORTRANGE(""https://docs.google.com/spreadsheets/d/1MeEWN-I1oV_STSDYn1IFDPWt_1FKiwhDph83XaGc0o0/edit?usp=sharing"",""งบพรบ!P36"")"),0)</f>
        <v>0</v>
      </c>
      <c r="M49" s="52">
        <f ca="1">IFERROR(__xludf.DUMMYFUNCTION("IMPORTRANGE(""https://docs.google.com/spreadsheets/d/1MeEWN-I1oV_STSDYn1IFDPWt_1FKiwhDph83XaGc0o0/edit?usp=sharing"",""งบพรบ!S36"")"),0)</f>
        <v>0</v>
      </c>
      <c r="N49" s="52">
        <f ca="1">IFERROR(__xludf.DUMMYFUNCTION("IMPORTRANGE(""https://docs.google.com/spreadsheets/d/1MeEWN-I1oV_STSDYn1IFDPWt_1FKiwhDph83XaGc0o0/edit?usp=sharing"",""งบพรบ!U36"")"),0)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1133200</v>
      </c>
      <c r="M53" s="116">
        <f t="shared" ca="1" si="31"/>
        <v>857375</v>
      </c>
      <c r="N53" s="116">
        <f t="shared" ca="1" si="31"/>
        <v>727863.96</v>
      </c>
      <c r="O53" s="116">
        <f t="shared" ref="O53:O61" ca="1" si="32">IF(L53&gt;0,N53*100/L53,0)</f>
        <v>64.23084715848924</v>
      </c>
      <c r="P53" s="116">
        <f t="shared" ref="P53:P61" ca="1" si="33">IF(M53&gt;0,N53*100/M53,0)</f>
        <v>84.89446974777664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1133200</v>
      </c>
      <c r="M55" s="123">
        <f t="shared" ca="1" si="34"/>
        <v>857375</v>
      </c>
      <c r="N55" s="123">
        <f t="shared" ca="1" si="34"/>
        <v>727863.96</v>
      </c>
      <c r="O55" s="123">
        <f t="shared" ca="1" si="32"/>
        <v>64.23084715848924</v>
      </c>
      <c r="P55" s="123">
        <f t="shared" ca="1" si="33"/>
        <v>84.89446974777664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1103300</v>
      </c>
      <c r="M56" s="497">
        <f t="shared" ca="1" si="35"/>
        <v>827475</v>
      </c>
      <c r="N56" s="497">
        <f t="shared" ca="1" si="35"/>
        <v>697963.96</v>
      </c>
      <c r="O56" s="497">
        <f t="shared" ca="1" si="32"/>
        <v>63.261484636998098</v>
      </c>
      <c r="P56" s="497">
        <f t="shared" ca="1" si="33"/>
        <v>84.348646182664126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IFERROR(__xludf.DUMMYFUNCTION("IMPORTRANGE(""https://docs.google.com/spreadsheets/d/1MeEWN-I1oV_STSDYn1IFDPWt_1FKiwhDph83XaGc0o0/edit?usp=sharing"",""งบพรบ!W36"")"),1103300)</f>
        <v>1103300</v>
      </c>
      <c r="M58" s="93">
        <f ca="1">IFERROR(__xludf.DUMMYFUNCTION("IMPORTRANGE(""https://docs.google.com/spreadsheets/d/1MeEWN-I1oV_STSDYn1IFDPWt_1FKiwhDph83XaGc0o0/edit?usp=sharing"",""งบพรบ!AB36"")"),827475)</f>
        <v>827475</v>
      </c>
      <c r="N58" s="93">
        <f ca="1">IFERROR(__xludf.DUMMYFUNCTION("IMPORTRANGE(""https://docs.google.com/spreadsheets/d/1MeEWN-I1oV_STSDYn1IFDPWt_1FKiwhDph83XaGc0o0/edit?usp=sharing"",""งบพรบ!AD36"")"),697963.96)</f>
        <v>697963.96</v>
      </c>
      <c r="O58" s="93">
        <f t="shared" ca="1" si="32"/>
        <v>63.261484636998098</v>
      </c>
      <c r="P58" s="93">
        <f t="shared" ca="1" si="33"/>
        <v>84.348646182664126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29900</v>
      </c>
      <c r="M59" s="497">
        <f t="shared" ca="1" si="36"/>
        <v>29900</v>
      </c>
      <c r="N59" s="497">
        <f t="shared" ca="1" si="36"/>
        <v>29900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IFERROR(__xludf.DUMMYFUNCTION("IMPORTRANGE(""https://docs.google.com/spreadsheets/d/1MeEWN-I1oV_STSDYn1IFDPWt_1FKiwhDph83XaGc0o0/edit?usp=sharing"",""งบพรบ!Z36"")"),29900)</f>
        <v>29900</v>
      </c>
      <c r="M61" s="52">
        <f ca="1">IFERROR(__xludf.DUMMYFUNCTION("IMPORTRANGE(""https://docs.google.com/spreadsheets/d/1MeEWN-I1oV_STSDYn1IFDPWt_1FKiwhDph83XaGc0o0/edit?usp=sharing"",""งบพรบ!AC36"")"),29900)</f>
        <v>29900</v>
      </c>
      <c r="N61" s="52">
        <f ca="1">IFERROR(__xludf.DUMMYFUNCTION("IMPORTRANGE(""https://docs.google.com/spreadsheets/d/1MeEWN-I1oV_STSDYn1IFDPWt_1FKiwhDph83XaGc0o0/edit?usp=sharing"",""งบพรบ!AE36"")"),29900)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IFERROR(__xludf.DUMMYFUNCTION("IMPORTRANGE(""https://docs.google.com/spreadsheets/d/1MeEWN-I1oV_STSDYn1IFDPWt_1FKiwhDph83XaGc0o0/edit?usp=sharing"",""งบพรบ!AG36"")"),0)</f>
        <v>0</v>
      </c>
      <c r="M71" s="93">
        <f ca="1">IFERROR(__xludf.DUMMYFUNCTION("IMPORTRANGE(""https://docs.google.com/spreadsheets/d/1MeEWN-I1oV_STSDYn1IFDPWt_1FKiwhDph83XaGc0o0/edit?usp=sharing"",""งบพรบ!AL36"")"),0)</f>
        <v>0</v>
      </c>
      <c r="N71" s="93">
        <f ca="1">IFERROR(__xludf.DUMMYFUNCTION("IMPORTRANGE(""https://docs.google.com/spreadsheets/d/1MeEWN-I1oV_STSDYn1IFDPWt_1FKiwhDph83XaGc0o0/edit?usp=sharing"",""งบพรบ!AN36"")"),0)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IFERROR(__xludf.DUMMYFUNCTION("IMPORTRANGE(""https://docs.google.com/spreadsheets/d/1MeEWN-I1oV_STSDYn1IFDPWt_1FKiwhDph83XaGc0o0/edit?usp=sharing"",""งบพรบ!AJ36"")"),0)</f>
        <v>0</v>
      </c>
      <c r="M74" s="93">
        <f ca="1">IFERROR(__xludf.DUMMYFUNCTION("IMPORTRANGE(""https://docs.google.com/spreadsheets/d/1MeEWN-I1oV_STSDYn1IFDPWt_1FKiwhDph83XaGc0o0/edit?usp=sharing"",""งบพรบ!AM36"")"),0)</f>
        <v>0</v>
      </c>
      <c r="N74" s="93">
        <f ca="1">IFERROR(__xludf.DUMMYFUNCTION("IMPORTRANGE(""https://docs.google.com/spreadsheets/d/1MeEWN-I1oV_STSDYn1IFDPWt_1FKiwhDph83XaGc0o0/edit?usp=sharing"",""งบพรบ!AO36"")"),0)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63900</v>
      </c>
      <c r="M88" s="155">
        <f t="shared" ca="1" si="49"/>
        <v>56400</v>
      </c>
      <c r="N88" s="155">
        <f t="shared" ca="1" si="49"/>
        <v>53600</v>
      </c>
      <c r="O88" s="155">
        <f t="shared" ref="O88:O96" ca="1" si="50">IF(L88&gt;0,N88*100/L88,0)</f>
        <v>83.881064162754299</v>
      </c>
      <c r="P88" s="155">
        <f t="shared" ref="P88:P96" ca="1" si="51">IF(M88&gt;0,N88*100/M88,0)</f>
        <v>95.035460992907801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63900</v>
      </c>
      <c r="M90" s="93">
        <f t="shared" ca="1" si="52"/>
        <v>56400</v>
      </c>
      <c r="N90" s="93">
        <f t="shared" ca="1" si="52"/>
        <v>53600</v>
      </c>
      <c r="O90" s="93">
        <f t="shared" ca="1" si="50"/>
        <v>83.881064162754299</v>
      </c>
      <c r="P90" s="93">
        <f t="shared" ca="1" si="51"/>
        <v>95.035460992907801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63900</v>
      </c>
      <c r="M91" s="497">
        <f t="shared" ca="1" si="53"/>
        <v>56400</v>
      </c>
      <c r="N91" s="497">
        <f t="shared" ca="1" si="53"/>
        <v>53600</v>
      </c>
      <c r="O91" s="497">
        <f t="shared" ca="1" si="50"/>
        <v>83.881064162754299</v>
      </c>
      <c r="P91" s="497">
        <f t="shared" ca="1" si="51"/>
        <v>95.035460992907801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IFERROR(__xludf.DUMMYFUNCTION("IMPORTRANGE(""https://docs.google.com/spreadsheets/d/1MeEWN-I1oV_STSDYn1IFDPWt_1FKiwhDph83XaGc0o0/edit?usp=sharing"",""งบพรบ!AQ36"")"),63900)</f>
        <v>63900</v>
      </c>
      <c r="M93" s="93">
        <f ca="1">IFERROR(__xludf.DUMMYFUNCTION("IMPORTRANGE(""https://docs.google.com/spreadsheets/d/1MeEWN-I1oV_STSDYn1IFDPWt_1FKiwhDph83XaGc0o0/edit?usp=sharing"",""งบพรบ!AV36"")"),56400)</f>
        <v>56400</v>
      </c>
      <c r="N93" s="93">
        <f ca="1">IFERROR(__xludf.DUMMYFUNCTION("IMPORTRANGE(""https://docs.google.com/spreadsheets/d/1MeEWN-I1oV_STSDYn1IFDPWt_1FKiwhDph83XaGc0o0/edit?usp=sharing"",""งบพรบ!AX36"")"),53600)</f>
        <v>53600</v>
      </c>
      <c r="O93" s="93">
        <f t="shared" ca="1" si="50"/>
        <v>83.881064162754299</v>
      </c>
      <c r="P93" s="93">
        <f t="shared" ca="1" si="51"/>
        <v>95.035460992907801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IFERROR(__xludf.DUMMYFUNCTION("IMPORTRANGE(""https://docs.google.com/spreadsheets/d/1MeEWN-I1oV_STSDYn1IFDPWt_1FKiwhDph83XaGc0o0/edit?usp=sharing"",""งบพรบ!AT36"")"),0)</f>
        <v>0</v>
      </c>
      <c r="M96" s="93">
        <f ca="1">IFERROR(__xludf.DUMMYFUNCTION("IMPORTRANGE(""https://docs.google.com/spreadsheets/d/1MeEWN-I1oV_STSDYn1IFDPWt_1FKiwhDph83XaGc0o0/edit?usp=sharing"",""งบพรบ!AW36"")"),0)</f>
        <v>0</v>
      </c>
      <c r="N96" s="93">
        <f ca="1">IFERROR(__xludf.DUMMYFUNCTION("IMPORTRANGE(""https://docs.google.com/spreadsheets/d/1MeEWN-I1oV_STSDYn1IFDPWt_1FKiwhDph83XaGc0o0/edit?usp=sharing"",""งบพรบ!AY36"")"),0)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IFERROR(__xludf.DUMMYFUNCTION("IMPORTRANGE(""https://docs.google.com/spreadsheets/d/1QqKyyYR6Q21VydFLVH3TRQUabQu_ym0Zz7PgGX0-kHA/edit?usp=sharing"",""แผน!K36"")"),75)</f>
        <v>75</v>
      </c>
      <c r="J98" s="270">
        <f>J102</f>
        <v>75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IFERROR(__xludf.DUMMYFUNCTION("IMPORTRANGE(""https://docs.google.com/spreadsheets/d/1QqKyyYR6Q21VydFLVH3TRQUabQu_ym0Zz7PgGX0-kHA/edit?usp=sharing"",""แผน!L36"")"),25)</f>
        <v>25</v>
      </c>
      <c r="J99" s="270">
        <f>J104</f>
        <v>25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IFERROR(__xludf.DUMMYFUNCTION("IMPORTRANGE(""https://docs.google.com/spreadsheets/d/1QqKyyYR6Q21VydFLVH3TRQUabQu_ym0Zz7PgGX0-kHA/edit?usp=sharing"",""แผน!M36"")"),0)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IFERROR(__xludf.DUMMYFUNCTION("IMPORTRANGE(""https://docs.google.com/spreadsheets/d/1QqKyyYR6Q21VydFLVH3TRQUabQu_ym0Zz7PgGX0-kHA/edit?usp=sharing"",""แผน!N36"")"),75)</f>
        <v>75</v>
      </c>
      <c r="J102" s="215">
        <v>75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IFERROR(__xludf.DUMMYFUNCTION("IMPORTRANGE(""https://docs.google.com/spreadsheets/d/1QqKyyYR6Q21VydFLVH3TRQUabQu_ym0Zz7PgGX0-kHA/edit?usp=sharing"",""แผน!O36"")"),25)</f>
        <v>25</v>
      </c>
      <c r="J103" s="215">
        <v>25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IFERROR(__xludf.DUMMYFUNCTION("IMPORTRANGE(""https://docs.google.com/spreadsheets/d/1QqKyyYR6Q21VydFLVH3TRQUabQu_ym0Zz7PgGX0-kHA/edit?usp=sharing"",""แผน!O36"")"),25)</f>
        <v>25</v>
      </c>
      <c r="J104" s="215">
        <v>25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IFERROR(__xludf.DUMMYFUNCTION("IMPORTRANGE(""https://docs.google.com/spreadsheets/d/1QqKyyYR6Q21VydFLVH3TRQUabQu_ym0Zz7PgGX0-kHA/edit?usp=sharing"",""แผน!Q36"")"),0)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IFERROR(__xludf.DUMMYFUNCTION("IMPORTRANGE(""https://docs.google.com/spreadsheets/d/1QqKyyYR6Q21VydFLVH3TRQUabQu_ym0Zz7PgGX0-kHA/edit?usp=sharing"",""แผน!Q36"")"),0)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IFERROR(__xludf.DUMMYFUNCTION("IMPORTRANGE(""https://docs.google.com/spreadsheets/d/1QqKyyYR6Q21VydFLVH3TRQUabQu_ym0Zz7PgGX0-kHA/edit?usp=sharing"",""แผน!R36"")"),25)</f>
        <v>25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IFERROR(__xludf.DUMMYFUNCTION("IMPORTRANGE(""https://docs.google.com/spreadsheets/d/1QqKyyYR6Q21VydFLVH3TRQUabQu_ym0Zz7PgGX0-kHA/edit?usp=sharing"",""แผน!R36"")"),25)</f>
        <v>25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IFERROR(__xludf.DUMMYFUNCTION("IMPORTRANGE(""https://docs.google.com/spreadsheets/d/1QqKyyYR6Q21VydFLVH3TRQUabQu_ym0Zz7PgGX0-kHA/edit?usp=sharing"",""แผน!R36"")"),25)</f>
        <v>25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IFERROR(__xludf.DUMMYFUNCTION("IMPORTRANGE(""https://docs.google.com/spreadsheets/d/1QqKyyYR6Q21VydFLVH3TRQUabQu_ym0Zz7PgGX0-kHA/edit?usp=sharing"",""แผน!T36"")"),0)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17000</v>
      </c>
      <c r="M119" s="155">
        <f t="shared" ca="1" si="60"/>
        <v>17000</v>
      </c>
      <c r="N119" s="155">
        <f t="shared" ca="1" si="60"/>
        <v>17000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17000</v>
      </c>
      <c r="M121" s="93">
        <f t="shared" ca="1" si="63"/>
        <v>17000</v>
      </c>
      <c r="N121" s="93">
        <f t="shared" ca="1" si="63"/>
        <v>17000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IFERROR(__xludf.DUMMYFUNCTION("IMPORTRANGE(""https://docs.google.com/spreadsheets/d/1MeEWN-I1oV_STSDYn1IFDPWt_1FKiwhDph83XaGc0o0/edit?usp=sharing"",""งบพรบ!BA36"")"),0)</f>
        <v>0</v>
      </c>
      <c r="M124" s="93">
        <f ca="1">IFERROR(__xludf.DUMMYFUNCTION("IMPORTRANGE(""https://docs.google.com/spreadsheets/d/1MeEWN-I1oV_STSDYn1IFDPWt_1FKiwhDph83XaGc0o0/edit?usp=sharing"",""งบพรบ!BF36"")"),0)</f>
        <v>0</v>
      </c>
      <c r="N124" s="93">
        <f ca="1">IFERROR(__xludf.DUMMYFUNCTION("IMPORTRANGE(""https://docs.google.com/spreadsheets/d/1MeEWN-I1oV_STSDYn1IFDPWt_1FKiwhDph83XaGc0o0/edit?usp=sharing"",""งบพรบ!BH36"")"),0)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17000</v>
      </c>
      <c r="M125" s="497">
        <f t="shared" ca="1" si="65"/>
        <v>17000</v>
      </c>
      <c r="N125" s="497">
        <f t="shared" ca="1" si="65"/>
        <v>17000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IFERROR(__xludf.DUMMYFUNCTION("IMPORTRANGE(""https://docs.google.com/spreadsheets/d/1MeEWN-I1oV_STSDYn1IFDPWt_1FKiwhDph83XaGc0o0/edit?usp=sharing"",""งบพรบ!BD36"")"),17000)</f>
        <v>17000</v>
      </c>
      <c r="M127" s="93">
        <f ca="1">IFERROR(__xludf.DUMMYFUNCTION("IMPORTRANGE(""https://docs.google.com/spreadsheets/d/1MeEWN-I1oV_STSDYn1IFDPWt_1FKiwhDph83XaGc0o0/edit?usp=sharing"",""งบพรบ!BG36"")"),17000)</f>
        <v>17000</v>
      </c>
      <c r="N127" s="93">
        <f ca="1">IFERROR(__xludf.DUMMYFUNCTION("IMPORTRANGE(""https://docs.google.com/spreadsheets/d/1MeEWN-I1oV_STSDYn1IFDPWt_1FKiwhDph83XaGc0o0/edit?usp=sharing"",""งบพรบ!BI36"")"),17000)</f>
        <v>17000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303310</v>
      </c>
      <c r="M132" s="155">
        <f t="shared" ca="1" si="69"/>
        <v>293700</v>
      </c>
      <c r="N132" s="155">
        <f t="shared" ca="1" si="69"/>
        <v>269455</v>
      </c>
      <c r="O132" s="155">
        <f t="shared" ref="O132:O140" ca="1" si="70">IF(L132&gt;0,N132*100/L132,0)</f>
        <v>88.838152385348323</v>
      </c>
      <c r="P132" s="155">
        <f t="shared" ref="P132:P140" ca="1" si="71">IF(M132&gt;0,N132*100/M132,0)</f>
        <v>91.744977868573372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303310</v>
      </c>
      <c r="M134" s="93">
        <f t="shared" ca="1" si="72"/>
        <v>293700</v>
      </c>
      <c r="N134" s="93">
        <f t="shared" ca="1" si="72"/>
        <v>269455</v>
      </c>
      <c r="O134" s="93">
        <f t="shared" ca="1" si="70"/>
        <v>88.838152385348323</v>
      </c>
      <c r="P134" s="93">
        <f t="shared" ca="1" si="71"/>
        <v>91.744977868573372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97310</v>
      </c>
      <c r="M135" s="497">
        <f t="shared" ca="1" si="73"/>
        <v>87700</v>
      </c>
      <c r="N135" s="497">
        <f t="shared" ca="1" si="73"/>
        <v>63455</v>
      </c>
      <c r="O135" s="497">
        <f t="shared" ca="1" si="70"/>
        <v>65.209125475285177</v>
      </c>
      <c r="P135" s="497">
        <f t="shared" ca="1" si="71"/>
        <v>72.35461801596351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IFERROR(__xludf.DUMMYFUNCTION("IMPORTRANGE(""https://docs.google.com/spreadsheets/d/1MeEWN-I1oV_STSDYn1IFDPWt_1FKiwhDph83XaGc0o0/edit?usp=sharing"",""งบพรบ!BK36"")"),97310)</f>
        <v>97310</v>
      </c>
      <c r="M137" s="93">
        <f ca="1">IFERROR(__xludf.DUMMYFUNCTION("IMPORTRANGE(""https://docs.google.com/spreadsheets/d/1MeEWN-I1oV_STSDYn1IFDPWt_1FKiwhDph83XaGc0o0/edit?usp=sharing"",""งบพรบ!BP36"")"),87700)</f>
        <v>87700</v>
      </c>
      <c r="N137" s="93">
        <f ca="1">IFERROR(__xludf.DUMMYFUNCTION("IMPORTRANGE(""https://docs.google.com/spreadsheets/d/1MeEWN-I1oV_STSDYn1IFDPWt_1FKiwhDph83XaGc0o0/edit?usp=sharing"",""งบพรบ!BR36"")"),63455)</f>
        <v>63455</v>
      </c>
      <c r="O137" s="93">
        <f t="shared" ca="1" si="70"/>
        <v>65.209125475285177</v>
      </c>
      <c r="P137" s="93">
        <f t="shared" ca="1" si="71"/>
        <v>72.35461801596351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206000</v>
      </c>
      <c r="M138" s="497">
        <f t="shared" ca="1" si="74"/>
        <v>206000</v>
      </c>
      <c r="N138" s="497">
        <f t="shared" ca="1" si="74"/>
        <v>206000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IFERROR(__xludf.DUMMYFUNCTION("IMPORTRANGE(""https://docs.google.com/spreadsheets/d/1MeEWN-I1oV_STSDYn1IFDPWt_1FKiwhDph83XaGc0o0/edit?usp=sharing"",""งบพรบ!BN36"")"),206000)</f>
        <v>206000</v>
      </c>
      <c r="M140" s="93">
        <f ca="1">IFERROR(__xludf.DUMMYFUNCTION("IMPORTRANGE(""https://docs.google.com/spreadsheets/d/1MeEWN-I1oV_STSDYn1IFDPWt_1FKiwhDph83XaGc0o0/edit?usp=sharing"",""งบพรบ!BQ36"")"),206000)</f>
        <v>206000</v>
      </c>
      <c r="N140" s="93">
        <f ca="1">IFERROR(__xludf.DUMMYFUNCTION("IMPORTRANGE(""https://docs.google.com/spreadsheets/d/1MeEWN-I1oV_STSDYn1IFDPWt_1FKiwhDph83XaGc0o0/edit?usp=sharing"",""งบพรบ!BS36"")"),206000)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20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IFERROR(__xludf.DUMMYFUNCTION("IMPORTRANGE(""https://docs.google.com/spreadsheets/d/1QqKyyYR6Q21VydFLVH3TRQUabQu_ym0Zz7PgGX0-kHA/edit?usp=sharing"",""แผน!U36"")"),10)</f>
        <v>10</v>
      </c>
      <c r="J144" s="215">
        <v>10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IFERROR(__xludf.DUMMYFUNCTION("IMPORTRANGE(""https://docs.google.com/spreadsheets/d/1QqKyyYR6Q21VydFLVH3TRQUabQu_ym0Zz7PgGX0-kHA/edit?usp=sharing"",""แผน!V36"")"),20)</f>
        <v>20</v>
      </c>
      <c r="J145" s="215">
        <v>20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IFERROR(__xludf.DUMMYFUNCTION("IMPORTRANGE(""https://docs.google.com/spreadsheets/d/1QqKyyYR6Q21VydFLVH3TRQUabQu_ym0Zz7PgGX0-kHA/edit?usp=sharing"",""แผน!W36"")"),2)</f>
        <v>2</v>
      </c>
      <c r="J146" s="215">
        <v>2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6800</v>
      </c>
      <c r="O149" s="155">
        <f t="shared" ref="O149:O157" ca="1" si="78">IF(L149&gt;0,N149*100/L149,0)</f>
        <v>68</v>
      </c>
      <c r="P149" s="155">
        <f t="shared" ref="P149:P157" ca="1" si="79">IF(M149&gt;0,N149*100/M149,0)</f>
        <v>68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6800</v>
      </c>
      <c r="O151" s="93">
        <f t="shared" ca="1" si="78"/>
        <v>68</v>
      </c>
      <c r="P151" s="93">
        <f t="shared" ca="1" si="79"/>
        <v>68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6800</v>
      </c>
      <c r="O152" s="497">
        <f t="shared" ca="1" si="78"/>
        <v>68</v>
      </c>
      <c r="P152" s="497">
        <f t="shared" ca="1" si="79"/>
        <v>68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IFERROR(__xludf.DUMMYFUNCTION("IMPORTRANGE(""https://docs.google.com/spreadsheets/d/1MeEWN-I1oV_STSDYn1IFDPWt_1FKiwhDph83XaGc0o0/edit?usp=sharing"",""งบพรบ!BU36"")"),10000)</f>
        <v>10000</v>
      </c>
      <c r="M154" s="93">
        <f ca="1">IFERROR(__xludf.DUMMYFUNCTION("IMPORTRANGE(""https://docs.google.com/spreadsheets/d/1MeEWN-I1oV_STSDYn1IFDPWt_1FKiwhDph83XaGc0o0/edit?usp=sharing"",""งบพรบ!BZ36"")"),10000)</f>
        <v>10000</v>
      </c>
      <c r="N154" s="93">
        <f ca="1">IFERROR(__xludf.DUMMYFUNCTION("IMPORTRANGE(""https://docs.google.com/spreadsheets/d/1MeEWN-I1oV_STSDYn1IFDPWt_1FKiwhDph83XaGc0o0/edit?usp=sharing"",""งบพรบ!CB36"")"),6800)</f>
        <v>6800</v>
      </c>
      <c r="O154" s="93">
        <f t="shared" ca="1" si="78"/>
        <v>68</v>
      </c>
      <c r="P154" s="93">
        <f t="shared" ca="1" si="79"/>
        <v>68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IFERROR(__xludf.DUMMYFUNCTION("IMPORTRANGE(""https://docs.google.com/spreadsheets/d/1MeEWN-I1oV_STSDYn1IFDPWt_1FKiwhDph83XaGc0o0/edit?usp=sharing"",""งบพรบ!BX36"")"),0)</f>
        <v>0</v>
      </c>
      <c r="M157" s="93">
        <f ca="1">IFERROR(__xludf.DUMMYFUNCTION("IMPORTRANGE(""https://docs.google.com/spreadsheets/d/1MeEWN-I1oV_STSDYn1IFDPWt_1FKiwhDph83XaGc0o0/edit?usp=sharing"",""งบพรบ!CA36"")"),0)</f>
        <v>0</v>
      </c>
      <c r="N157" s="93">
        <f ca="1">IFERROR(__xludf.DUMMYFUNCTION("IMPORTRANGE(""https://docs.google.com/spreadsheets/d/1MeEWN-I1oV_STSDYn1IFDPWt_1FKiwhDph83XaGc0o0/edit?usp=sharing"",""งบพรบ!CC36"")"),0)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IFERROR(__xludf.DUMMYFUNCTION("IMPORTRANGE(""https://docs.google.com/spreadsheets/d/1QqKyyYR6Q21VydFLVH3TRQUabQu_ym0Zz7PgGX0-kHA/edit?usp=sharing"",""แผน!X36"")"),20)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32080</v>
      </c>
      <c r="N165" s="155">
        <f t="shared" ca="1" si="84"/>
        <v>32080</v>
      </c>
      <c r="O165" s="155">
        <f t="shared" ref="O165:O173" ca="1" si="85">IF(L165&gt;0,N165*100/L165,0)</f>
        <v>152.39904988123516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32080</v>
      </c>
      <c r="N167" s="93">
        <f t="shared" ca="1" si="87"/>
        <v>32080</v>
      </c>
      <c r="O167" s="93">
        <f t="shared" ca="1" si="85"/>
        <v>152.39904988123516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32080</v>
      </c>
      <c r="N168" s="497">
        <f t="shared" ca="1" si="88"/>
        <v>32080</v>
      </c>
      <c r="O168" s="497">
        <f t="shared" ca="1" si="85"/>
        <v>152.39904988123516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IFERROR(__xludf.DUMMYFUNCTION("IMPORTRANGE(""https://docs.google.com/spreadsheets/d/1MeEWN-I1oV_STSDYn1IFDPWt_1FKiwhDph83XaGc0o0/edit?usp=sharing"",""งบพรบ!CE36"")"),21050)</f>
        <v>21050</v>
      </c>
      <c r="M170" s="93">
        <f ca="1">IFERROR(__xludf.DUMMYFUNCTION("IMPORTRANGE(""https://docs.google.com/spreadsheets/d/1MeEWN-I1oV_STSDYn1IFDPWt_1FKiwhDph83XaGc0o0/edit?usp=sharing"",""งบพรบ!CJ36"")"),32080)</f>
        <v>32080</v>
      </c>
      <c r="N170" s="93">
        <f ca="1">IFERROR(__xludf.DUMMYFUNCTION("IMPORTRANGE(""https://docs.google.com/spreadsheets/d/1MeEWN-I1oV_STSDYn1IFDPWt_1FKiwhDph83XaGc0o0/edit?usp=sharing"",""งบพรบ!CL36"")"),32080)</f>
        <v>32080</v>
      </c>
      <c r="O170" s="93">
        <f t="shared" ca="1" si="85"/>
        <v>152.39904988123516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IFERROR(__xludf.DUMMYFUNCTION("IMPORTRANGE(""https://docs.google.com/spreadsheets/d/1MeEWN-I1oV_STSDYn1IFDPWt_1FKiwhDph83XaGc0o0/edit?usp=sharing"",""งบพรบ!CH36"")"),0)</f>
        <v>0</v>
      </c>
      <c r="M173" s="93">
        <f ca="1">IFERROR(__xludf.DUMMYFUNCTION("IMPORTRANGE(""https://docs.google.com/spreadsheets/d/1MeEWN-I1oV_STSDYn1IFDPWt_1FKiwhDph83XaGc0o0/edit?usp=sharing"",""งบพรบ!CK36"")"),0)</f>
        <v>0</v>
      </c>
      <c r="N173" s="93">
        <f ca="1">IFERROR(__xludf.DUMMYFUNCTION("IMPORTRANGE(""https://docs.google.com/spreadsheets/d/1MeEWN-I1oV_STSDYn1IFDPWt_1FKiwhDph83XaGc0o0/edit?usp=sharing"",""งบพรบ!CM36"")"),0)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583500</v>
      </c>
      <c r="M181" s="155">
        <f t="shared" ca="1" si="92"/>
        <v>434000</v>
      </c>
      <c r="N181" s="155">
        <f t="shared" ca="1" si="92"/>
        <v>288045.75</v>
      </c>
      <c r="O181" s="155">
        <f t="shared" ref="O181:O189" ca="1" si="93">IF(L181&gt;0,N181*100/L181,0)</f>
        <v>49.36516709511568</v>
      </c>
      <c r="P181" s="155">
        <f t="shared" ref="P181:P189" ca="1" si="94">IF(M181&gt;0,N181*100/M181,0)</f>
        <v>66.369988479262673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583500</v>
      </c>
      <c r="M183" s="93">
        <f t="shared" ca="1" si="95"/>
        <v>434000</v>
      </c>
      <c r="N183" s="93">
        <f t="shared" ca="1" si="95"/>
        <v>288045.75</v>
      </c>
      <c r="O183" s="93">
        <f t="shared" ca="1" si="93"/>
        <v>49.36516709511568</v>
      </c>
      <c r="P183" s="93">
        <f t="shared" ca="1" si="94"/>
        <v>66.369988479262673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583500</v>
      </c>
      <c r="M184" s="497">
        <f t="shared" ca="1" si="96"/>
        <v>434000</v>
      </c>
      <c r="N184" s="497">
        <f t="shared" ca="1" si="96"/>
        <v>288045.75</v>
      </c>
      <c r="O184" s="497">
        <f t="shared" ca="1" si="93"/>
        <v>49.36516709511568</v>
      </c>
      <c r="P184" s="497">
        <f t="shared" ca="1" si="94"/>
        <v>66.369988479262673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IFERROR(__xludf.DUMMYFUNCTION("IMPORTRANGE(""https://docs.google.com/spreadsheets/d/1MeEWN-I1oV_STSDYn1IFDPWt_1FKiwhDph83XaGc0o0/edit?usp=sharing"",""งบพรบ!CO36"")"),583500)</f>
        <v>583500</v>
      </c>
      <c r="M186" s="93">
        <f ca="1">IFERROR(__xludf.DUMMYFUNCTION("IMPORTRANGE(""https://docs.google.com/spreadsheets/d/1MeEWN-I1oV_STSDYn1IFDPWt_1FKiwhDph83XaGc0o0/edit?usp=sharing"",""งบพรบ!CT36"")"),434000)</f>
        <v>434000</v>
      </c>
      <c r="N186" s="93">
        <f ca="1">IFERROR(__xludf.DUMMYFUNCTION("IMPORTRANGE(""https://docs.google.com/spreadsheets/d/1MeEWN-I1oV_STSDYn1IFDPWt_1FKiwhDph83XaGc0o0/edit?usp=sharing"",""งบพรบ!CV36"")"),288045.75)</f>
        <v>288045.75</v>
      </c>
      <c r="O186" s="93">
        <f t="shared" ca="1" si="93"/>
        <v>49.36516709511568</v>
      </c>
      <c r="P186" s="93">
        <f t="shared" ca="1" si="94"/>
        <v>66.369988479262673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IFERROR(__xludf.DUMMYFUNCTION("IMPORTRANGE(""https://docs.google.com/spreadsheets/d/1MeEWN-I1oV_STSDYn1IFDPWt_1FKiwhDph83XaGc0o0/edit?usp=sharing"",""งบพรบ!CR36"")"),0)</f>
        <v>0</v>
      </c>
      <c r="M189" s="93">
        <f ca="1">IFERROR(__xludf.DUMMYFUNCTION("IMPORTRANGE(""https://docs.google.com/spreadsheets/d/1MeEWN-I1oV_STSDYn1IFDPWt_1FKiwhDph83XaGc0o0/edit?usp=sharing"",""งบพรบ!CU36"")"),0)</f>
        <v>0</v>
      </c>
      <c r="N189" s="93">
        <f ca="1">IFERROR(__xludf.DUMMYFUNCTION("IMPORTRANGE(""https://docs.google.com/spreadsheets/d/1MeEWN-I1oV_STSDYn1IFDPWt_1FKiwhDph83XaGc0o0/edit?usp=sharing"",""งบพรบ!CW36"")"),0)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IFERROR(__xludf.DUMMYFUNCTION("IMPORTRANGE(""https://docs.google.com/spreadsheets/d/1QqKyyYR6Q21VydFLVH3TRQUabQu_ym0Zz7PgGX0-kHA/edit?usp=sharing"",""แผน!Z36"")"),6000)</f>
        <v>6000</v>
      </c>
      <c r="M191" s="155"/>
      <c r="N191" s="276">
        <v>4070</v>
      </c>
      <c r="O191" s="155">
        <f ca="1">IF(L191&gt;0,N191*100/L191,0)</f>
        <v>67.833333333333329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167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167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IFERROR(__xludf.DUMMYFUNCTION("IMPORTRANGE(""https://docs.google.com/spreadsheets/d/1QqKyyYR6Q21VydFLVH3TRQUabQu_ym0Zz7PgGX0-kHA/edit?usp=sharing"",""แผน!AE36"")"),2000)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IFERROR(__xludf.DUMMYFUNCTION("IMPORTRANGE(""https://docs.google.com/spreadsheets/d/1QqKyyYR6Q21VydFLVH3TRQUabQu_ym0Zz7PgGX0-kHA/edit?usp=sharing"",""แผน!AF36"")"),16000)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IFERROR(__xludf.DUMMYFUNCTION("IMPORTRANGE(""https://docs.google.com/spreadsheets/d/1QqKyyYR6Q21VydFLVH3TRQUabQu_ym0Zz7PgGX0-kHA/edit?usp=sharing"",""แผน!AG36"")"),8000)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IFERROR(__xludf.DUMMYFUNCTION("IMPORTRANGE(""https://docs.google.com/spreadsheets/d/1QqKyyYR6Q21VydFLVH3TRQUabQu_ym0Zz7PgGX0-kHA/edit?usp=sharing"",""แผน!AI36"")"),2)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IFERROR(__xludf.DUMMYFUNCTION("IMPORTRANGE(""https://docs.google.com/spreadsheets/d/1QqKyyYR6Q21VydFLVH3TRQUabQu_ym0Zz7PgGX0-kHA/edit?usp=sharing"",""แผน!AK36"")"),0)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IFERROR(__xludf.DUMMYFUNCTION("IMPORTRANGE(""https://docs.google.com/spreadsheets/d/1QqKyyYR6Q21VydFLVH3TRQUabQu_ym0Zz7PgGX0-kHA/edit?usp=sharing"",""แผน!AL36"")"),0)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IFERROR(__xludf.DUMMYFUNCTION("IMPORTRANGE(""https://docs.google.com/spreadsheets/d/1QqKyyYR6Q21VydFLVH3TRQUabQu_ym0Zz7PgGX0-kHA/edit?usp=sharing"",""แผน!AM36"")"),0)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70000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33500</v>
      </c>
      <c r="M217" s="155"/>
      <c r="N217" s="155">
        <f>N218+N219+N220</f>
        <v>10595</v>
      </c>
      <c r="O217" s="155">
        <f ca="1">IF(L217&gt;0,N217*100/L217,0)</f>
        <v>31.626865671641792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IFERROR(__xludf.DUMMYFUNCTION("IMPORTRANGE(""https://docs.google.com/spreadsheets/d/1QqKyyYR6Q21VydFLVH3TRQUabQu_ym0Zz7PgGX0-kHA/edit?usp=sharing"",""แผน!AP36"")"),5000)</f>
        <v>5000</v>
      </c>
      <c r="M218" s="497"/>
      <c r="N218" s="838">
        <v>595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IFERROR(__xludf.DUMMYFUNCTION("IMPORTRANGE(""https://docs.google.com/spreadsheets/d/1QqKyyYR6Q21VydFLVH3TRQUabQu_ym0Zz7PgGX0-kHA/edit?usp=sharing"",""แผน!AQ36"")"),18500)</f>
        <v>18500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IFERROR(__xludf.DUMMYFUNCTION("IMPORTRANGE(""https://docs.google.com/spreadsheets/d/1QqKyyYR6Q21VydFLVH3TRQUabQu_ym0Zz7PgGX0-kHA/edit?usp=sharing"",""แผน!AR36"")"),10000)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IFERROR(__xludf.DUMMYFUNCTION("IMPORTRANGE(""https://docs.google.com/spreadsheets/d/1QqKyyYR6Q21VydFLVH3TRQUabQu_ym0Zz7PgGX0-kHA/edit?usp=sharing"",""แผน!AT36"")"),70000)</f>
        <v>70000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IFERROR(__xludf.DUMMYFUNCTION("IMPORTRANGE(""https://docs.google.com/spreadsheets/d/1QqKyyYR6Q21VydFLVH3TRQUabQu_ym0Zz7PgGX0-kHA/edit?usp=sharing"",""แผน!AT36"")"),70000)</f>
        <v>70000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25560</v>
      </c>
      <c r="O261" s="155">
        <f t="shared" ref="O261:O269" ca="1" si="117">IF(L261&gt;0,N261*100/L261,0)</f>
        <v>88.75</v>
      </c>
      <c r="P261" s="155">
        <f t="shared" ref="P261:P269" ca="1" si="118">IF(M261&gt;0,N261*100/M261,0)</f>
        <v>99.069767441860463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25560</v>
      </c>
      <c r="O263" s="93">
        <f t="shared" ca="1" si="117"/>
        <v>88.75</v>
      </c>
      <c r="P263" s="93">
        <f t="shared" ca="1" si="118"/>
        <v>99.069767441860463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25560</v>
      </c>
      <c r="O264" s="497">
        <f t="shared" ca="1" si="117"/>
        <v>88.75</v>
      </c>
      <c r="P264" s="497">
        <f t="shared" ca="1" si="118"/>
        <v>99.069767441860463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IFERROR(__xludf.DUMMYFUNCTION("IMPORTRANGE(""https://docs.google.com/spreadsheets/d/1MeEWN-I1oV_STSDYn1IFDPWt_1FKiwhDph83XaGc0o0/edit?usp=sharing"",""งบพรบ!CY36"")"),28800)</f>
        <v>28800</v>
      </c>
      <c r="M266" s="93">
        <f ca="1">IFERROR(__xludf.DUMMYFUNCTION("IMPORTRANGE(""https://docs.google.com/spreadsheets/d/1MeEWN-I1oV_STSDYn1IFDPWt_1FKiwhDph83XaGc0o0/edit?usp=sharing"",""งบพรบ!DD36"")"),25800)</f>
        <v>25800</v>
      </c>
      <c r="N266" s="93">
        <f ca="1">IFERROR(__xludf.DUMMYFUNCTION("IMPORTRANGE(""https://docs.google.com/spreadsheets/d/1MeEWN-I1oV_STSDYn1IFDPWt_1FKiwhDph83XaGc0o0/edit?usp=sharing"",""งบพรบ!DF36"")"),25560)</f>
        <v>25560</v>
      </c>
      <c r="O266" s="93">
        <f t="shared" ca="1" si="117"/>
        <v>88.75</v>
      </c>
      <c r="P266" s="93">
        <f t="shared" ca="1" si="118"/>
        <v>99.069767441860463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IFERROR(__xludf.DUMMYFUNCTION("IMPORTRANGE(""https://docs.google.com/spreadsheets/d/1MeEWN-I1oV_STSDYn1IFDPWt_1FKiwhDph83XaGc0o0/edit?usp=sharing"",""งบพรบ!DB36"")"),0)</f>
        <v>0</v>
      </c>
      <c r="M269" s="93">
        <f ca="1">IFERROR(__xludf.DUMMYFUNCTION("IMPORTRANGE(""https://docs.google.com/spreadsheets/d/1MeEWN-I1oV_STSDYn1IFDPWt_1FKiwhDph83XaGc0o0/edit?usp=sharing"",""งบพรบ!DE36"")"),0)</f>
        <v>0</v>
      </c>
      <c r="N269" s="93">
        <f ca="1">IFERROR(__xludf.DUMMYFUNCTION("IMPORTRANGE(""https://docs.google.com/spreadsheets/d/1MeEWN-I1oV_STSDYn1IFDPWt_1FKiwhDph83XaGc0o0/edit?usp=sharing"",""งบพรบ!DG36"")"),0)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IFERROR(__xludf.DUMMYFUNCTION("IMPORTRANGE(""https://docs.google.com/spreadsheets/d/1QqKyyYR6Q21VydFLVH3TRQUabQu_ym0Zz7PgGX0-kHA/edit?usp=sharing"",""แผน!EA36"")"),24)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70790</v>
      </c>
      <c r="N277" s="155">
        <f t="shared" ca="1" si="125"/>
        <v>57120</v>
      </c>
      <c r="O277" s="155">
        <f t="shared" ref="O277:O285" ca="1" si="126">IF(L277&gt;0,N277*100/L277,0)</f>
        <v>38.849214446031425</v>
      </c>
      <c r="P277" s="155">
        <f t="shared" ref="P277:P285" ca="1" si="127">IF(M277&gt;0,N277*100/M277,0)</f>
        <v>80.689362904365026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70790</v>
      </c>
      <c r="N279" s="93">
        <f t="shared" ca="1" si="128"/>
        <v>57120</v>
      </c>
      <c r="O279" s="93">
        <f t="shared" ca="1" si="126"/>
        <v>38.849214446031425</v>
      </c>
      <c r="P279" s="93">
        <f t="shared" ca="1" si="127"/>
        <v>80.689362904365026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70790</v>
      </c>
      <c r="N280" s="497">
        <f t="shared" ca="1" si="129"/>
        <v>57120</v>
      </c>
      <c r="O280" s="497">
        <f t="shared" ca="1" si="126"/>
        <v>38.849214446031425</v>
      </c>
      <c r="P280" s="497">
        <f t="shared" ca="1" si="127"/>
        <v>80.689362904365026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IFERROR(__xludf.DUMMYFUNCTION("IMPORTRANGE(""https://docs.google.com/spreadsheets/d/1MeEWN-I1oV_STSDYn1IFDPWt_1FKiwhDph83XaGc0o0/edit?usp=sharing"",""งบพรบ!DI36"")"),147030)</f>
        <v>147030</v>
      </c>
      <c r="M282" s="93">
        <f ca="1">IFERROR(__xludf.DUMMYFUNCTION("IMPORTRANGE(""https://docs.google.com/spreadsheets/d/1MeEWN-I1oV_STSDYn1IFDPWt_1FKiwhDph83XaGc0o0/edit?usp=sharing"",""งบพรบ!DN36"")"),70790)</f>
        <v>70790</v>
      </c>
      <c r="N282" s="93">
        <f ca="1">IFERROR(__xludf.DUMMYFUNCTION("IMPORTRANGE(""https://docs.google.com/spreadsheets/d/1MeEWN-I1oV_STSDYn1IFDPWt_1FKiwhDph83XaGc0o0/edit?usp=sharing"",""งบพรบ!DP36"")"),57120)</f>
        <v>57120</v>
      </c>
      <c r="O282" s="93">
        <f t="shared" ca="1" si="126"/>
        <v>38.849214446031425</v>
      </c>
      <c r="P282" s="93">
        <f t="shared" ca="1" si="127"/>
        <v>80.689362904365026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IFERROR(__xludf.DUMMYFUNCTION("IMPORTRANGE(""https://docs.google.com/spreadsheets/d/1MeEWN-I1oV_STSDYn1IFDPWt_1FKiwhDph83XaGc0o0/edit?usp=sharing"",""งบพรบ!DL36"")"),0)</f>
        <v>0</v>
      </c>
      <c r="M285" s="93">
        <f ca="1">IFERROR(__xludf.DUMMYFUNCTION("IMPORTRANGE(""https://docs.google.com/spreadsheets/d/1MeEWN-I1oV_STSDYn1IFDPWt_1FKiwhDph83XaGc0o0/edit?usp=sharing"",""งบพรบ!DO36"")"),0)</f>
        <v>0</v>
      </c>
      <c r="N285" s="93">
        <f ca="1">IFERROR(__xludf.DUMMYFUNCTION("IMPORTRANGE(""https://docs.google.com/spreadsheets/d/1MeEWN-I1oV_STSDYn1IFDPWt_1FKiwhDph83XaGc0o0/edit?usp=sharing"",""งบพรบ!DQ36"")"),0)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IFERROR(__xludf.DUMMYFUNCTION("IMPORTRANGE(""https://docs.google.com/spreadsheets/d/1QqKyyYR6Q21VydFLVH3TRQUabQu_ym0Zz7PgGX0-kHA/edit?usp=sharing"",""แผน!EC36"")"),400)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IFERROR(__xludf.DUMMYFUNCTION("IMPORTRANGE(""https://docs.google.com/spreadsheets/d/1QqKyyYR6Q21VydFLVH3TRQUabQu_ym0Zz7PgGX0-kHA/edit?usp=sharing"",""แผน!EB36"")"),40)</f>
        <v>40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IFERROR(__xludf.DUMMYFUNCTION("IMPORTRANGE(""https://docs.google.com/spreadsheets/d/1QqKyyYR6Q21VydFLVH3TRQUabQu_ym0Zz7PgGX0-kHA/edit?usp=sharing"",""แผน!EB36"")"),40)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IFERROR(__xludf.DUMMYFUNCTION("IMPORTRANGE(""https://docs.google.com/spreadsheets/d/1QqKyyYR6Q21VydFLVH3TRQUabQu_ym0Zz7PgGX0-kHA/edit?usp=sharing"",""แผน!EB36"")"),40)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IFERROR(__xludf.DUMMYFUNCTION("IMPORTRANGE(""https://docs.google.com/spreadsheets/d/1QqKyyYR6Q21VydFLVH3TRQUabQu_ym0Zz7PgGX0-kHA/edit?usp=sharing"",""แผน!EB36"")"),40)</f>
        <v>40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IFERROR(__xludf.DUMMYFUNCTION("IMPORTRANGE(""https://docs.google.com/spreadsheets/d/1QqKyyYR6Q21VydFLVH3TRQUabQu_ym0Zz7PgGX0-kHA/edit?usp=sharing"",""แผน!EB36"")"),40)</f>
        <v>40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78500</v>
      </c>
      <c r="N298" s="155">
        <f t="shared" ca="1" si="135"/>
        <v>78500</v>
      </c>
      <c r="O298" s="155">
        <f t="shared" ref="O298:O306" ca="1" si="136">IF(L298&gt;0,N298*100/L298,0)</f>
        <v>77.722772277227719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101000</v>
      </c>
      <c r="M300" s="93">
        <f t="shared" ca="1" si="138"/>
        <v>78500</v>
      </c>
      <c r="N300" s="93">
        <f t="shared" ca="1" si="138"/>
        <v>78500</v>
      </c>
      <c r="O300" s="93">
        <f t="shared" ca="1" si="136"/>
        <v>77.722772277227719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78500</v>
      </c>
      <c r="N301" s="497">
        <f t="shared" ca="1" si="139"/>
        <v>78500</v>
      </c>
      <c r="O301" s="497">
        <f t="shared" ca="1" si="136"/>
        <v>77.722772277227719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IFERROR(__xludf.DUMMYFUNCTION("IMPORTRANGE(""https://docs.google.com/spreadsheets/d/1MeEWN-I1oV_STSDYn1IFDPWt_1FKiwhDph83XaGc0o0/edit?usp=sharing"",""งบพรบ!DS36"")"),101000)</f>
        <v>101000</v>
      </c>
      <c r="M303" s="93">
        <f ca="1">IFERROR(__xludf.DUMMYFUNCTION("IMPORTRANGE(""https://docs.google.com/spreadsheets/d/1MeEWN-I1oV_STSDYn1IFDPWt_1FKiwhDph83XaGc0o0/edit?usp=sharing"",""งบพรบ!DX36"")"),78500)</f>
        <v>78500</v>
      </c>
      <c r="N303" s="93">
        <f ca="1">IFERROR(__xludf.DUMMYFUNCTION("IMPORTRANGE(""https://docs.google.com/spreadsheets/d/1MeEWN-I1oV_STSDYn1IFDPWt_1FKiwhDph83XaGc0o0/edit?usp=sharing"",""งบพรบ!DZ36"")"),78500)</f>
        <v>78500</v>
      </c>
      <c r="O303" s="93">
        <f t="shared" ca="1" si="136"/>
        <v>77.722772277227719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IFERROR(__xludf.DUMMYFUNCTION("IMPORTRANGE(""https://docs.google.com/spreadsheets/d/1MeEWN-I1oV_STSDYn1IFDPWt_1FKiwhDph83XaGc0o0/edit?usp=sharing"",""งบพรบ!DV36"")"),0)</f>
        <v>0</v>
      </c>
      <c r="M306" s="93">
        <f ca="1">IFERROR(__xludf.DUMMYFUNCTION("IMPORTRANGE(""https://docs.google.com/spreadsheets/d/1MeEWN-I1oV_STSDYn1IFDPWt_1FKiwhDph83XaGc0o0/edit?usp=sharing"",""งบพรบ!DY36"")"),0)</f>
        <v>0</v>
      </c>
      <c r="N306" s="93">
        <f ca="1">IFERROR(__xludf.DUMMYFUNCTION("IMPORTRANGE(""https://docs.google.com/spreadsheets/d/1MeEWN-I1oV_STSDYn1IFDPWt_1FKiwhDph83XaGc0o0/edit?usp=sharing"",""งบพรบ!EA36"")"),0)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IFERROR(__xludf.DUMMYFUNCTION("IMPORTRANGE(""https://docs.google.com/spreadsheets/d/1QqKyyYR6Q21VydFLVH3TRQUabQu_ym0Zz7PgGX0-kHA/edit?usp=sharing"",""แผน!ED36"")"),25)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IFERROR(__xludf.DUMMYFUNCTION("IMPORTRANGE(""https://docs.google.com/spreadsheets/d/1QqKyyYR6Q21VydFLVH3TRQUabQu_ym0Zz7PgGX0-kHA/edit?usp=sharing"",""แผน!EE36"")"),5)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223733.15</v>
      </c>
      <c r="O315" s="155">
        <f t="shared" ref="O315:O323" ca="1" si="144">IF(L315&gt;0,N315*100/L315,0)</f>
        <v>50.964271070615034</v>
      </c>
      <c r="P315" s="155">
        <f t="shared" ref="P315:P323" ca="1" si="145">IF(M315&gt;0,N315*100/M315,0)</f>
        <v>69.374620155038755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223733.15</v>
      </c>
      <c r="O317" s="93">
        <f t="shared" ca="1" si="144"/>
        <v>50.964271070615034</v>
      </c>
      <c r="P317" s="93">
        <f t="shared" ca="1" si="145"/>
        <v>69.374620155038755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322500</v>
      </c>
      <c r="N318" s="497">
        <f t="shared" ca="1" si="147"/>
        <v>223733.15</v>
      </c>
      <c r="O318" s="497">
        <f t="shared" ca="1" si="144"/>
        <v>50.964271070615034</v>
      </c>
      <c r="P318" s="497">
        <f t="shared" ca="1" si="145"/>
        <v>69.374620155038755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IFERROR(__xludf.DUMMYFUNCTION("IMPORTRANGE(""https://docs.google.com/spreadsheets/d/1MeEWN-I1oV_STSDYn1IFDPWt_1FKiwhDph83XaGc0o0/edit?usp=sharing"",""งบพรบ!EC36"")"),439000)</f>
        <v>439000</v>
      </c>
      <c r="M320" s="93">
        <f ca="1">IFERROR(__xludf.DUMMYFUNCTION("IMPORTRANGE(""https://docs.google.com/spreadsheets/d/1MeEWN-I1oV_STSDYn1IFDPWt_1FKiwhDph83XaGc0o0/edit?usp=sharing"",""งบพรบ!EH36"")"),322500)</f>
        <v>322500</v>
      </c>
      <c r="N320" s="93">
        <f ca="1">IFERROR(__xludf.DUMMYFUNCTION("IMPORTRANGE(""https://docs.google.com/spreadsheets/d/1MeEWN-I1oV_STSDYn1IFDPWt_1FKiwhDph83XaGc0o0/edit?usp=sharing"",""งบพรบ!EJ36"")"),223733.15)</f>
        <v>223733.15</v>
      </c>
      <c r="O320" s="93">
        <f t="shared" ca="1" si="144"/>
        <v>50.964271070615034</v>
      </c>
      <c r="P320" s="93">
        <f t="shared" ca="1" si="145"/>
        <v>69.374620155038755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IFERROR(__xludf.DUMMYFUNCTION("IMPORTRANGE(""https://docs.google.com/spreadsheets/d/1MeEWN-I1oV_STSDYn1IFDPWt_1FKiwhDph83XaGc0o0/edit?usp=sharing"",""งบพรบ!EF36"")"),0)</f>
        <v>0</v>
      </c>
      <c r="M323" s="93">
        <f ca="1">IFERROR(__xludf.DUMMYFUNCTION("IMPORTRANGE(""https://docs.google.com/spreadsheets/d/1MeEWN-I1oV_STSDYn1IFDPWt_1FKiwhDph83XaGc0o0/edit?usp=sharing"",""งบพรบ!EI36"")"),0)</f>
        <v>0</v>
      </c>
      <c r="N323" s="93">
        <f ca="1">IFERROR(__xludf.DUMMYFUNCTION("IMPORTRANGE(""https://docs.google.com/spreadsheets/d/1MeEWN-I1oV_STSDYn1IFDPWt_1FKiwhDph83XaGc0o0/edit?usp=sharing"",""งบพรบ!EK36"")"),0)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IFERROR(__xludf.DUMMYFUNCTION("IMPORTRANGE(""https://docs.google.com/spreadsheets/d/1QqKyyYR6Q21VydFLVH3TRQUabQu_ym0Zz7PgGX0-kHA/edit?usp=sharing"",""แผน!EG36"")"),8620)</f>
        <v>8620</v>
      </c>
      <c r="J327" s="444">
        <f ca="1">J338+J341+J342+J343</f>
        <v>6435</v>
      </c>
      <c r="K327" s="445">
        <f ca="1">IF(I327&gt;0,J327*100/I327,0)</f>
        <v>74.651972157772619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198000</v>
      </c>
      <c r="M328" s="155">
        <f t="shared" ca="1" si="149"/>
        <v>151000</v>
      </c>
      <c r="N328" s="155">
        <f t="shared" ca="1" si="149"/>
        <v>101092.67</v>
      </c>
      <c r="O328" s="155">
        <f t="shared" ref="O328:O336" ca="1" si="150">IF(L328&gt;0,N328*100/L328,0)</f>
        <v>51.056904040404042</v>
      </c>
      <c r="P328" s="155">
        <f t="shared" ref="P328:P336" ca="1" si="151">IF(M328&gt;0,N328*100/M328,0)</f>
        <v>66.948788079470205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198000</v>
      </c>
      <c r="M330" s="93">
        <f t="shared" ca="1" si="152"/>
        <v>151000</v>
      </c>
      <c r="N330" s="93">
        <f t="shared" ca="1" si="152"/>
        <v>101092.67</v>
      </c>
      <c r="O330" s="93">
        <f t="shared" ca="1" si="150"/>
        <v>51.056904040404042</v>
      </c>
      <c r="P330" s="93">
        <f t="shared" ca="1" si="151"/>
        <v>66.948788079470205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198000</v>
      </c>
      <c r="M331" s="497">
        <f t="shared" ca="1" si="153"/>
        <v>151000</v>
      </c>
      <c r="N331" s="497">
        <f t="shared" ca="1" si="153"/>
        <v>101092.67</v>
      </c>
      <c r="O331" s="497">
        <f t="shared" ca="1" si="150"/>
        <v>51.056904040404042</v>
      </c>
      <c r="P331" s="497">
        <f t="shared" ca="1" si="151"/>
        <v>66.948788079470205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IFERROR(__xludf.DUMMYFUNCTION("IMPORTRANGE(""https://docs.google.com/spreadsheets/d/1MeEWN-I1oV_STSDYn1IFDPWt_1FKiwhDph83XaGc0o0/edit?usp=sharing"",""งบพรบ!EM36"")"),198000)</f>
        <v>198000</v>
      </c>
      <c r="M333" s="93">
        <f ca="1">IFERROR(__xludf.DUMMYFUNCTION("IMPORTRANGE(""https://docs.google.com/spreadsheets/d/1MeEWN-I1oV_STSDYn1IFDPWt_1FKiwhDph83XaGc0o0/edit?usp=sharing"",""งบพรบ!ER36"")"),151000)</f>
        <v>151000</v>
      </c>
      <c r="N333" s="93">
        <f ca="1">IFERROR(__xludf.DUMMYFUNCTION("IMPORTRANGE(""https://docs.google.com/spreadsheets/d/1MeEWN-I1oV_STSDYn1IFDPWt_1FKiwhDph83XaGc0o0/edit?usp=sharing"",""งบพรบ!ET36"")"),101092.67)</f>
        <v>101092.67</v>
      </c>
      <c r="O333" s="93">
        <f t="shared" ca="1" si="150"/>
        <v>51.056904040404042</v>
      </c>
      <c r="P333" s="93">
        <f t="shared" ca="1" si="151"/>
        <v>66.948788079470205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IFERROR(__xludf.DUMMYFUNCTION("IMPORTRANGE(""https://docs.google.com/spreadsheets/d/1MeEWN-I1oV_STSDYn1IFDPWt_1FKiwhDph83XaGc0o0/edit?usp=sharing"",""งบพรบ!EP36"")"),0)</f>
        <v>0</v>
      </c>
      <c r="M336" s="93">
        <f ca="1">IFERROR(__xludf.DUMMYFUNCTION("IMPORTRANGE(""https://docs.google.com/spreadsheets/d/1MeEWN-I1oV_STSDYn1IFDPWt_1FKiwhDph83XaGc0o0/edit?usp=sharing"",""งบพรบ!ES36"")"),0)</f>
        <v>0</v>
      </c>
      <c r="N336" s="93">
        <f ca="1">IFERROR(__xludf.DUMMYFUNCTION("IMPORTRANGE(""https://docs.google.com/spreadsheets/d/1MeEWN-I1oV_STSDYn1IFDPWt_1FKiwhDph83XaGc0o0/edit?usp=sharing"",""งบพรบ!EU36"")"),0)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IFERROR(__xludf.DUMMYFUNCTION("IMPORTRANGE(""https://docs.google.com/spreadsheets/d/1QqKyyYR6Q21VydFLVH3TRQUabQu_ym0Zz7PgGX0-kHA/edit?usp=sharing"",""แผน!EG36"")"),8620)</f>
        <v>8620</v>
      </c>
      <c r="J338" s="270">
        <f ca="1">IFERROR(__xludf.DUMMYFUNCTION("IMPORTRANGE(""https://docs.google.com/spreadsheets/d/1kVcqe37tkHyjCSG3S0O1AXqVkqjo8mSIZil3BcpIysc/edit?usp=sharing"",""ศูนย์!D36"")"),5589)</f>
        <v>5589</v>
      </c>
      <c r="K338" s="497">
        <f ca="1">IF(I338&gt;0,J338*100/I338,0)</f>
        <v>64.837587006960561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IFERROR(__xludf.DUMMYFUNCTION("IMPORTRANGE(""https://docs.google.com/spreadsheets/d/1QqKyyYR6Q21VydFLVH3TRQUabQu_ym0Zz7PgGX0-kHA/edit?usp=sharing"",""แผน!EH36"")"),15)</f>
        <v>15</v>
      </c>
      <c r="J340" s="270">
        <f ca="1">IFERROR(__xludf.DUMMYFUNCTION("IMPORTRANGE(""https://docs.google.com/spreadsheets/d/1kVcqe37tkHyjCSG3S0O1AXqVkqjo8mSIZil3BcpIysc/edit?usp=sharing"",""ศูนย์!E36"")"),8)</f>
        <v>8</v>
      </c>
      <c r="K340" s="497">
        <f ca="1">IF(I340&gt;0,J340*100/I340,0)</f>
        <v>53.333333333333336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IFERROR(__xludf.DUMMYFUNCTION("IMPORTRANGE(""https://docs.google.com/spreadsheets/d/1kVcqe37tkHyjCSG3S0O1AXqVkqjo8mSIZil3BcpIysc/edit?usp=sharing"",""ศูนย์!F36"")"),840)</f>
        <v>840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IFERROR(__xludf.DUMMYFUNCTION("IMPORTRANGE(""https://docs.google.com/spreadsheets/d/1kVcqe37tkHyjCSG3S0O1AXqVkqjo8mSIZil3BcpIysc/edit?usp=sharing"",""ศูนย์!H36"")"),6)</f>
        <v>6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2798010</v>
      </c>
      <c r="M345" s="155">
        <f t="shared" ca="1" si="155"/>
        <v>2370620</v>
      </c>
      <c r="N345" s="155">
        <f t="shared" ca="1" si="155"/>
        <v>1439358.42</v>
      </c>
      <c r="O345" s="155">
        <f t="shared" ref="O345:O353" ca="1" si="156">IF(L345&gt;0,N345*100/L345,0)</f>
        <v>51.442218576774209</v>
      </c>
      <c r="P345" s="155">
        <f t="shared" ref="P345:P353" ca="1" si="157">IF(M345&gt;0,N345*100/M345,0)</f>
        <v>60.716539133222533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2798010</v>
      </c>
      <c r="M347" s="93">
        <f t="shared" ca="1" si="158"/>
        <v>2370620</v>
      </c>
      <c r="N347" s="93">
        <f t="shared" ca="1" si="158"/>
        <v>1439358.42</v>
      </c>
      <c r="O347" s="93">
        <f t="shared" ca="1" si="156"/>
        <v>51.442218576774209</v>
      </c>
      <c r="P347" s="93">
        <f t="shared" ca="1" si="157"/>
        <v>60.716539133222533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2639610</v>
      </c>
      <c r="M348" s="497">
        <f t="shared" ca="1" si="159"/>
        <v>2212220</v>
      </c>
      <c r="N348" s="497">
        <f t="shared" ca="1" si="159"/>
        <v>1280958.42</v>
      </c>
      <c r="O348" s="497">
        <f t="shared" ca="1" si="156"/>
        <v>48.528321229272507</v>
      </c>
      <c r="P348" s="497">
        <f t="shared" ca="1" si="157"/>
        <v>57.903753695382917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IFERROR(__xludf.DUMMYFUNCTION("IMPORTRANGE(""https://docs.google.com/spreadsheets/d/1MeEWN-I1oV_STSDYn1IFDPWt_1FKiwhDph83XaGc0o0/edit?usp=sharing"",""งบพรบ!EW36"")"),2639610)</f>
        <v>2639610</v>
      </c>
      <c r="M350" s="93">
        <f ca="1">IFERROR(__xludf.DUMMYFUNCTION("IMPORTRANGE(""https://docs.google.com/spreadsheets/d/1MeEWN-I1oV_STSDYn1IFDPWt_1FKiwhDph83XaGc0o0/edit?usp=sharing"",""งบพรบ!FB36"")"),2212220)</f>
        <v>2212220</v>
      </c>
      <c r="N350" s="93">
        <f ca="1">IFERROR(__xludf.DUMMYFUNCTION("IMPORTRANGE(""https://docs.google.com/spreadsheets/d/1MeEWN-I1oV_STSDYn1IFDPWt_1FKiwhDph83XaGc0o0/edit?usp=sharing"",""งบพรบ!FD36"")"),1280958.42)</f>
        <v>1280958.42</v>
      </c>
      <c r="O350" s="93">
        <f t="shared" ca="1" si="156"/>
        <v>48.528321229272507</v>
      </c>
      <c r="P350" s="93">
        <f t="shared" ca="1" si="157"/>
        <v>57.903753695382917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158400</v>
      </c>
      <c r="M351" s="497">
        <f t="shared" ca="1" si="160"/>
        <v>158400</v>
      </c>
      <c r="N351" s="497">
        <f t="shared" ca="1" si="160"/>
        <v>158400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IFERROR(__xludf.DUMMYFUNCTION("IMPORTRANGE(""https://docs.google.com/spreadsheets/d/1MeEWN-I1oV_STSDYn1IFDPWt_1FKiwhDph83XaGc0o0/edit?usp=sharing"",""งบพรบ!EZ36"")"),158400)</f>
        <v>158400</v>
      </c>
      <c r="M353" s="93">
        <f ca="1">IFERROR(__xludf.DUMMYFUNCTION("IMPORTRANGE(""https://docs.google.com/spreadsheets/d/1MeEWN-I1oV_STSDYn1IFDPWt_1FKiwhDph83XaGc0o0/edit?usp=sharing"",""งบพรบ!FC36"")"),158400)</f>
        <v>158400</v>
      </c>
      <c r="N353" s="93">
        <f ca="1">IFERROR(__xludf.DUMMYFUNCTION("IMPORTRANGE(""https://docs.google.com/spreadsheets/d/1MeEWN-I1oV_STSDYn1IFDPWt_1FKiwhDph83XaGc0o0/edit?usp=sharing"",""งบพรบ!FE36"")"),158400)</f>
        <v>158400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IFERROR(__xludf.DUMMYFUNCTION("IMPORTRANGE(""https://docs.google.com/spreadsheets/d/1QqKyyYR6Q21VydFLVH3TRQUabQu_ym0Zz7PgGX0-kHA/edit?usp=sharing"",""แผน!EP36"")"),2000)</f>
        <v>2000</v>
      </c>
      <c r="J355" s="464">
        <f ca="1">J362</f>
        <v>199</v>
      </c>
      <c r="K355" s="465">
        <f ca="1">IF(I355&gt;0,J355*100/I355,0)</f>
        <v>9.9499999999999993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IFERROR(__xludf.DUMMYFUNCTION("IMPORTRANGE(""https://docs.google.com/spreadsheets/d/1XWAQStnk-4SwqDmLtmXYiTMKHgktTP8We1SCoS47DrQ/edit?usp=sharing"",""จัดที่ดิน!W36"")"),677)</f>
        <v>677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IFERROR(__xludf.DUMMYFUNCTION("IMPORTRANGE(""https://docs.google.com/spreadsheets/d/1QqKyyYR6Q21VydFLVH3TRQUabQu_ym0Zz7PgGX0-kHA/edit?usp=sharing"",""แผน!EO36"")"),20000)</f>
        <v>20000</v>
      </c>
      <c r="J359" s="270">
        <f ca="1">IFERROR(__xludf.DUMMYFUNCTION("IMPORTRANGE(""https://docs.google.com/spreadsheets/d/1XWAQStnk-4SwqDmLtmXYiTMKHgktTP8We1SCoS47DrQ/edit?usp=sharing"",""จัดที่ดิน!X36"")"),7009.45)</f>
        <v>7009.45</v>
      </c>
      <c r="K359" s="497">
        <f t="shared" ca="1" si="161"/>
        <v>35.047249999999998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IFERROR(__xludf.DUMMYFUNCTION("IMPORTRANGE(""https://docs.google.com/spreadsheets/d/1QqKyyYR6Q21VydFLVH3TRQUabQu_ym0Zz7PgGX0-kHA/edit?usp=sharing"",""แผน!EP36"")"),2000)</f>
        <v>2000</v>
      </c>
      <c r="J360" s="270">
        <f ca="1">IFERROR(__xludf.DUMMYFUNCTION("IMPORTRANGE(""https://docs.google.com/spreadsheets/d/1XWAQStnk-4SwqDmLtmXYiTMKHgktTP8We1SCoS47DrQ/edit?usp=sharing"",""จัดที่ดิน!Y36"")"),622)</f>
        <v>622</v>
      </c>
      <c r="K360" s="497">
        <f t="shared" ca="1" si="161"/>
        <v>31.1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IFERROR(__xludf.DUMMYFUNCTION("IMPORTRANGE(""https://docs.google.com/spreadsheets/d/1XWAQStnk-4SwqDmLtmXYiTMKHgktTP8We1SCoS47DrQ/edit?usp=sharing"",""จัดที่ดิน!Z36"")"),6548.19)</f>
        <v>6548.19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IFERROR(__xludf.DUMMYFUNCTION("IMPORTRANGE(""https://docs.google.com/spreadsheets/d/1QqKyyYR6Q21VydFLVH3TRQUabQu_ym0Zz7PgGX0-kHA/edit?usp=sharing"",""แผน!EP36"")"),2000)</f>
        <v>2000</v>
      </c>
      <c r="J362" s="270">
        <f ca="1">IFERROR(__xludf.DUMMYFUNCTION("IMPORTRANGE(""https://docs.google.com/spreadsheets/d/1XWAQStnk-4SwqDmLtmXYiTMKHgktTP8We1SCoS47DrQ/edit?usp=sharing"",""จัดที่ดิน!AA36"")"),199)</f>
        <v>199</v>
      </c>
      <c r="K362" s="497">
        <f t="shared" ca="1" si="161"/>
        <v>9.9499999999999993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IFERROR(__xludf.DUMMYFUNCTION("IMPORTRANGE(""https://docs.google.com/spreadsheets/d/1XWAQStnk-4SwqDmLtmXYiTMKHgktTP8We1SCoS47DrQ/edit?usp=sharing"",""จัดที่ดิน!AB36"")"),2206.74)</f>
        <v>2206.7399999999998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3000</v>
      </c>
      <c r="J364" s="478">
        <f t="shared" ca="1" si="162"/>
        <v>1226</v>
      </c>
      <c r="K364" s="479">
        <f t="shared" ca="1" si="161"/>
        <v>40.866666666666667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IFERROR(__xludf.DUMMYFUNCTION("IMPORTRANGE(""https://docs.google.com/spreadsheets/d/1QqKyyYR6Q21VydFLVH3TRQUabQu_ym0Zz7PgGX0-kHA/edit?usp=sharing"",""แผน!EJ36"")"),1500)</f>
        <v>1500</v>
      </c>
      <c r="J365" s="490">
        <f ca="1">J372</f>
        <v>166</v>
      </c>
      <c r="K365" s="491">
        <f t="shared" ca="1" si="161"/>
        <v>11.066666666666666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IFERROR(__xludf.DUMMYFUNCTION("IMPORTRANGE(""https://docs.google.com/spreadsheets/d/1XWAQStnk-4SwqDmLtmXYiTMKHgktTP8We1SCoS47DrQ/edit?usp=sharing"",""จัดที่ดิน!E36"")"),278)</f>
        <v>278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IFERROR(__xludf.DUMMYFUNCTION("IMPORTRANGE(""https://docs.google.com/spreadsheets/d/1QqKyyYR6Q21VydFLVH3TRQUabQu_ym0Zz7PgGX0-kHA/edit?usp=sharing"",""แผน!EI36"")"),15000)</f>
        <v>15000</v>
      </c>
      <c r="J369" s="270">
        <f ca="1">IFERROR(__xludf.DUMMYFUNCTION("IMPORTRANGE(""https://docs.google.com/spreadsheets/d/1XWAQStnk-4SwqDmLtmXYiTMKHgktTP8We1SCoS47DrQ/edit?usp=sharing"",""จัดที่ดิน!F36"")"),3250.22)</f>
        <v>3250.22</v>
      </c>
      <c r="K369" s="497">
        <f t="shared" ca="1" si="163"/>
        <v>21.668133333333333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IFERROR(__xludf.DUMMYFUNCTION("IMPORTRANGE(""https://docs.google.com/spreadsheets/d/1QqKyyYR6Q21VydFLVH3TRQUabQu_ym0Zz7PgGX0-kHA/edit?usp=sharing"",""แผน!EJ36"")"),1500)</f>
        <v>1500</v>
      </c>
      <c r="J370" s="270">
        <f ca="1">IFERROR(__xludf.DUMMYFUNCTION("IMPORTRANGE(""https://docs.google.com/spreadsheets/d/1XWAQStnk-4SwqDmLtmXYiTMKHgktTP8We1SCoS47DrQ/edit?usp=sharing"",""จัดที่ดิน!G36"")"),219)</f>
        <v>219</v>
      </c>
      <c r="K370" s="497">
        <f t="shared" ca="1" si="163"/>
        <v>14.6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IFERROR(__xludf.DUMMYFUNCTION("IMPORTRANGE(""https://docs.google.com/spreadsheets/d/1XWAQStnk-4SwqDmLtmXYiTMKHgktTP8We1SCoS47DrQ/edit?usp=sharing"",""จัดที่ดิน!H36"")"),2750.09)</f>
        <v>2750.09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IFERROR(__xludf.DUMMYFUNCTION("IMPORTRANGE(""https://docs.google.com/spreadsheets/d/1QqKyyYR6Q21VydFLVH3TRQUabQu_ym0Zz7PgGX0-kHA/edit?usp=sharing"",""แผน!EJ36"")"),1500)</f>
        <v>1500</v>
      </c>
      <c r="J372" s="270">
        <f ca="1">IFERROR(__xludf.DUMMYFUNCTION("IMPORTRANGE(""https://docs.google.com/spreadsheets/d/1XWAQStnk-4SwqDmLtmXYiTMKHgktTP8We1SCoS47DrQ/edit?usp=sharing"",""จัดที่ดิน!I36"")"),166)</f>
        <v>166</v>
      </c>
      <c r="K372" s="497">
        <f t="shared" ca="1" si="163"/>
        <v>11.066666666666666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IFERROR(__xludf.DUMMYFUNCTION("IMPORTRANGE(""https://docs.google.com/spreadsheets/d/1XWAQStnk-4SwqDmLtmXYiTMKHgktTP8We1SCoS47DrQ/edit?usp=sharing"",""จัดที่ดิน!J36"")"),1846.8)</f>
        <v>1846.8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IFERROR(__xludf.DUMMYFUNCTION("IMPORTRANGE(""https://docs.google.com/spreadsheets/d/1QqKyyYR6Q21VydFLVH3TRQUabQu_ym0Zz7PgGX0-kHA/edit?usp=sharing"",""แผน!EU36"")"),1500)</f>
        <v>1500</v>
      </c>
      <c r="J374" s="490">
        <f ca="1">J381</f>
        <v>1060</v>
      </c>
      <c r="K374" s="491">
        <f t="shared" ca="1" si="163"/>
        <v>70.666666666666671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IFERROR(__xludf.DUMMYFUNCTION("IMPORTRANGE(""https://docs.google.com/spreadsheets/d/1XWAQStnk-4SwqDmLtmXYiTMKHgktTP8We1SCoS47DrQ/edit?usp=sharing"",""จัดที่ดิน!AH36"")"),399)</f>
        <v>399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IFERROR(__xludf.DUMMYFUNCTION("IMPORTRANGE(""https://docs.google.com/spreadsheets/d/1QqKyyYR6Q21VydFLVH3TRQUabQu_ym0Zz7PgGX0-kHA/edit?usp=sharing"",""แผน!ET36"")"),5000)</f>
        <v>5000</v>
      </c>
      <c r="J378" s="270">
        <f ca="1">IFERROR(__xludf.DUMMYFUNCTION("IMPORTRANGE(""https://docs.google.com/spreadsheets/d/1XWAQStnk-4SwqDmLtmXYiTMKHgktTP8We1SCoS47DrQ/edit?usp=sharing"",""จัดที่ดิน!AI36"")"),3759.23)</f>
        <v>3759.23</v>
      </c>
      <c r="K378" s="497">
        <f t="shared" ca="1" si="164"/>
        <v>75.184600000000003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IFERROR(__xludf.DUMMYFUNCTION("IMPORTRANGE(""https://docs.google.com/spreadsheets/d/1QqKyyYR6Q21VydFLVH3TRQUabQu_ym0Zz7PgGX0-kHA/edit?usp=sharing"",""แผน!EU36"")"),1500)</f>
        <v>1500</v>
      </c>
      <c r="J379" s="270">
        <f ca="1">IFERROR(__xludf.DUMMYFUNCTION("IMPORTRANGE(""https://docs.google.com/spreadsheets/d/1XWAQStnk-4SwqDmLtmXYiTMKHgktTP8We1SCoS47DrQ/edit?usp=sharing"",""จัดที่ดิน!AJ36"")"),1431)</f>
        <v>1431</v>
      </c>
      <c r="K379" s="497">
        <f t="shared" ca="1" si="164"/>
        <v>95.4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IFERROR(__xludf.DUMMYFUNCTION("IMPORTRANGE(""https://docs.google.com/spreadsheets/d/1XWAQStnk-4SwqDmLtmXYiTMKHgktTP8We1SCoS47DrQ/edit?usp=sharing"",""จัดที่ดิน!AK36"")"),19047.12)</f>
        <v>19047.12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IFERROR(__xludf.DUMMYFUNCTION("IMPORTRANGE(""https://docs.google.com/spreadsheets/d/1QqKyyYR6Q21VydFLVH3TRQUabQu_ym0Zz7PgGX0-kHA/edit?usp=sharing"",""แผน!EU36"")"),1500)</f>
        <v>1500</v>
      </c>
      <c r="J381" s="270">
        <f ca="1">IFERROR(__xludf.DUMMYFUNCTION("IMPORTRANGE(""https://docs.google.com/spreadsheets/d/1XWAQStnk-4SwqDmLtmXYiTMKHgktTP8We1SCoS47DrQ/edit?usp=sharing"",""จัดที่ดิน!AL36"")"),1060)</f>
        <v>1060</v>
      </c>
      <c r="K381" s="497">
        <f t="shared" ca="1" si="164"/>
        <v>70.666666666666671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IFERROR(__xludf.DUMMYFUNCTION("IMPORTRANGE(""https://docs.google.com/spreadsheets/d/1XWAQStnk-4SwqDmLtmXYiTMKHgktTP8We1SCoS47DrQ/edit?usp=sharing"",""จัดที่ดิน!AM36"")"),15603.25)</f>
        <v>15603.25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IFERROR(__xludf.DUMMYFUNCTION("IMPORTRANGE(""https://docs.google.com/spreadsheets/d/1QqKyyYR6Q21VydFLVH3TRQUabQu_ym0Zz7PgGX0-kHA/edit?usp=sharing"",""แผน!EW36"")"),50)</f>
        <v>50</v>
      </c>
      <c r="J385" s="504">
        <f ca="1">IFERROR(__xludf.DUMMYFUNCTION("IMPORTRANGE(""https://docs.google.com/spreadsheets/d/1XWAQStnk-4SwqDmLtmXYiTMKHgktTP8We1SCoS47DrQ/edit?usp=sharing"",""จัดที่ดิน!AP36"")"),0)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IFERROR(__xludf.DUMMYFUNCTION("IMPORTRANGE(""https://docs.google.com/spreadsheets/d/1MeEWN-I1oV_STSDYn1IFDPWt_1FKiwhDph83XaGc0o0/edit?usp=sharing"",""งบพรบ!FG36"")"),0)</f>
        <v>0</v>
      </c>
      <c r="M394" s="93">
        <f ca="1">IFERROR(__xludf.DUMMYFUNCTION("IMPORTRANGE(""https://docs.google.com/spreadsheets/d/1MeEWN-I1oV_STSDYn1IFDPWt_1FKiwhDph83XaGc0o0/edit?usp=sharing"",""งบพรบ!FL36"")"),0)</f>
        <v>0</v>
      </c>
      <c r="N394" s="93">
        <f ca="1">IFERROR(__xludf.DUMMYFUNCTION("IMPORTRANGE(""https://docs.google.com/spreadsheets/d/1MeEWN-I1oV_STSDYn1IFDPWt_1FKiwhDph83XaGc0o0/edit?usp=sharing"",""งบพรบ!FN36"")"),0)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IFERROR(__xludf.DUMMYFUNCTION("IMPORTRANGE(""https://docs.google.com/spreadsheets/d/1MeEWN-I1oV_STSDYn1IFDPWt_1FKiwhDph83XaGc0o0/edit?usp=sharing"",""งบพรบ!FJ36"")"),0)</f>
        <v>0</v>
      </c>
      <c r="M397" s="93">
        <f ca="1">IFERROR(__xludf.DUMMYFUNCTION("IMPORTRANGE(""https://docs.google.com/spreadsheets/d/1MeEWN-I1oV_STSDYn1IFDPWt_1FKiwhDph83XaGc0o0/edit?usp=sharing"",""งบพรบ!FM36"")"),0)</f>
        <v>0</v>
      </c>
      <c r="N397" s="93">
        <f ca="1">IFERROR(__xludf.DUMMYFUNCTION("IMPORTRANGE(""https://docs.google.com/spreadsheets/d/1MeEWN-I1oV_STSDYn1IFDPWt_1FKiwhDph83XaGc0o0/edit?usp=sharing"",""งบพรบ!FO36"")"),0)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IFERROR(__xludf.DUMMYFUNCTION("IMPORTRANGE(""https://docs.google.com/spreadsheets/d/1MeEWN-I1oV_STSDYn1IFDPWt_1FKiwhDph83XaGc0o0/edit?usp=sharing"",""งบพรบ!FQ36"")"),0)</f>
        <v>0</v>
      </c>
      <c r="M407" s="93">
        <f ca="1">IFERROR(__xludf.DUMMYFUNCTION("IMPORTRANGE(""https://docs.google.com/spreadsheets/d/1MeEWN-I1oV_STSDYn1IFDPWt_1FKiwhDph83XaGc0o0/edit?usp=sharing"",""งบพรบ!FV36"")"),0)</f>
        <v>0</v>
      </c>
      <c r="N407" s="93">
        <f ca="1">IFERROR(__xludf.DUMMYFUNCTION("IMPORTRANGE(""https://docs.google.com/spreadsheets/d/1MeEWN-I1oV_STSDYn1IFDPWt_1FKiwhDph83XaGc0o0/edit?usp=sharing"",""งบพรบ!FX36"")"),0)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IFERROR(__xludf.DUMMYFUNCTION("IMPORTRANGE(""https://docs.google.com/spreadsheets/d/1MeEWN-I1oV_STSDYn1IFDPWt_1FKiwhDph83XaGc0o0/edit?usp=sharing"",""งบพรบ!FT36"")"),0)</f>
        <v>0</v>
      </c>
      <c r="M410" s="93">
        <f ca="1">IFERROR(__xludf.DUMMYFUNCTION("IMPORTRANGE(""https://docs.google.com/spreadsheets/d/1MeEWN-I1oV_STSDYn1IFDPWt_1FKiwhDph83XaGc0o0/edit?usp=sharing"",""งบพรบ!FW36"")"),0)</f>
        <v>0</v>
      </c>
      <c r="N410" s="93">
        <f ca="1">IFERROR(__xludf.DUMMYFUNCTION("IMPORTRANGE(""https://docs.google.com/spreadsheets/d/1MeEWN-I1oV_STSDYn1IFDPWt_1FKiwhDph83XaGc0o0/edit?usp=sharing"",""งบพรบ!FY36"")"),0)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5479290</v>
      </c>
      <c r="M414" s="552">
        <f t="shared" ca="1" si="181"/>
        <v>5475290</v>
      </c>
      <c r="N414" s="552">
        <f t="shared" si="181"/>
        <v>3065226.59</v>
      </c>
      <c r="O414" s="552">
        <f ca="1">IF(L414&gt;0,N414*100/L414,0)</f>
        <v>55.942039753325702</v>
      </c>
      <c r="P414" s="552">
        <f ca="1">IF(M414&gt;0,N414*100/M414,0)</f>
        <v>55.982908485212654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70</v>
      </c>
      <c r="J417" s="568">
        <f t="shared" ca="1" si="182"/>
        <v>70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238260</v>
      </c>
      <c r="M419" s="155">
        <f t="shared" ca="1" si="184"/>
        <v>234260</v>
      </c>
      <c r="N419" s="155">
        <f t="shared" si="184"/>
        <v>55090</v>
      </c>
      <c r="O419" s="155">
        <f t="shared" ref="O419:O424" ca="1" si="185">IF(L419&gt;0,N419*100/L419,0)</f>
        <v>23.121799714597497</v>
      </c>
      <c r="P419" s="155">
        <f t="shared" ref="P419:P424" ca="1" si="186">IF(M419&gt;0,N419*100/M419,0)</f>
        <v>23.516605481089389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238260</v>
      </c>
      <c r="M421" s="93">
        <f t="shared" ca="1" si="187"/>
        <v>234260</v>
      </c>
      <c r="N421" s="93">
        <f t="shared" si="187"/>
        <v>55090</v>
      </c>
      <c r="O421" s="93">
        <f t="shared" ca="1" si="185"/>
        <v>23.121799714597497</v>
      </c>
      <c r="P421" s="93">
        <f t="shared" ca="1" si="186"/>
        <v>23.516605481089389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238260</v>
      </c>
      <c r="M422" s="497">
        <f t="shared" ca="1" si="188"/>
        <v>234260</v>
      </c>
      <c r="N422" s="497">
        <f t="shared" si="188"/>
        <v>55090</v>
      </c>
      <c r="O422" s="497">
        <f t="shared" ca="1" si="185"/>
        <v>23.121799714597497</v>
      </c>
      <c r="P422" s="497">
        <f t="shared" ca="1" si="186"/>
        <v>23.516605481089389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IFERROR(__xludf.DUMMYFUNCTION("IMPORTRANGE(""https://docs.google.com/spreadsheets/d/1QqKyyYR6Q21VydFLVH3TRQUabQu_ym0Zz7PgGX0-kHA/edit?usp=sharing"",""แผน!EY36"")"),238260)</f>
        <v>238260</v>
      </c>
      <c r="M424" s="93">
        <f ca="1">L424-4000</f>
        <v>234260</v>
      </c>
      <c r="N424" s="93">
        <f>N425+N426+N427+N428</f>
        <v>55090</v>
      </c>
      <c r="O424" s="93">
        <f t="shared" ca="1" si="185"/>
        <v>23.121799714597497</v>
      </c>
      <c r="P424" s="93">
        <f t="shared" ca="1" si="186"/>
        <v>23.516605481089389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33240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21850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70</v>
      </c>
      <c r="J433" s="679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IFERROR(__xludf.DUMMYFUNCTION("IMPORTRANGE(""https://docs.google.com/spreadsheets/d/1QqKyyYR6Q21VydFLVH3TRQUabQu_ym0Zz7PgGX0-kHA/edit?usp=sharing"",""แผน!FC36"")"),70)</f>
        <v>70</v>
      </c>
      <c r="J435" s="582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IFERROR(__xludf.DUMMYFUNCTION("IMPORTRANGE(""https://docs.google.com/spreadsheets/d/1QqKyyYR6Q21VydFLVH3TRQUabQu_ym0Zz7PgGX0-kHA/edit?usp=sharing"",""แผน!FD36"")"),50)</f>
        <v>50</v>
      </c>
      <c r="J437" s="582">
        <v>50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140</v>
      </c>
      <c r="J443" s="568">
        <f t="shared" si="196"/>
        <v>140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444200</v>
      </c>
      <c r="M444" s="195">
        <f t="shared" ca="1" si="197"/>
        <v>444200</v>
      </c>
      <c r="N444" s="195">
        <f t="shared" si="197"/>
        <v>360545.01</v>
      </c>
      <c r="O444" s="195">
        <f t="shared" ref="O444:O449" ca="1" si="198">IF(L444&gt;0,N444*100/L444,0)</f>
        <v>81.167269248086441</v>
      </c>
      <c r="P444" s="195">
        <f t="shared" ref="P444:P449" ca="1" si="199">IF(M444&gt;0,N444*100/M444,0)</f>
        <v>81.167269248086441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444200</v>
      </c>
      <c r="M446" s="93">
        <f t="shared" ca="1" si="200"/>
        <v>444200</v>
      </c>
      <c r="N446" s="93">
        <f t="shared" si="200"/>
        <v>360545.01</v>
      </c>
      <c r="O446" s="93">
        <f t="shared" ca="1" si="198"/>
        <v>81.167269248086441</v>
      </c>
      <c r="P446" s="93">
        <f t="shared" ca="1" si="199"/>
        <v>81.167269248086441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444200</v>
      </c>
      <c r="M447" s="497">
        <f t="shared" ca="1" si="201"/>
        <v>444200</v>
      </c>
      <c r="N447" s="497">
        <f t="shared" si="201"/>
        <v>360545.01</v>
      </c>
      <c r="O447" s="497">
        <f t="shared" ca="1" si="198"/>
        <v>81.167269248086441</v>
      </c>
      <c r="P447" s="497">
        <f t="shared" ca="1" si="199"/>
        <v>81.167269248086441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IFERROR(__xludf.DUMMYFUNCTION("IMPORTRANGE(""https://docs.google.com/spreadsheets/d/1QqKyyYR6Q21VydFLVH3TRQUabQu_ym0Zz7PgGX0-kHA/edit?usp=sharing"",""แผน!FJ36"")"),444200)</f>
        <v>444200</v>
      </c>
      <c r="M449" s="93">
        <f ca="1">L449</f>
        <v>444200</v>
      </c>
      <c r="N449" s="93">
        <f>N450+N451+N452+N453</f>
        <v>360545.01</v>
      </c>
      <c r="O449" s="93">
        <f t="shared" ca="1" si="198"/>
        <v>81.167269248086441</v>
      </c>
      <c r="P449" s="93">
        <f t="shared" ca="1" si="199"/>
        <v>81.167269248086441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129625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159000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63700.01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8220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IFERROR(__xludf.DUMMYFUNCTION("IMPORTRANGE(""https://docs.google.com/spreadsheets/d/1QqKyyYR6Q21VydFLVH3TRQUabQu_ym0Zz7PgGX0-kHA/edit?usp=sharing"",""แผน!FN36"")"),70)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IFERROR(__xludf.DUMMYFUNCTION("IMPORTRANGE(""https://docs.google.com/spreadsheets/d/1QqKyyYR6Q21VydFLVH3TRQUabQu_ym0Zz7PgGX0-kHA/edit?usp=sharing"",""แผน!FO36"")"),140)</f>
        <v>140</v>
      </c>
      <c r="J462" s="215">
        <v>140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IFERROR(__xludf.DUMMYFUNCTION("IMPORTRANGE(""https://docs.google.com/spreadsheets/d/1QqKyyYR6Q21VydFLVH3TRQUabQu_ym0Zz7PgGX0-kHA/edit?usp=sharing"",""แผน!FO36"")"),140)</f>
        <v>140</v>
      </c>
      <c r="J463" s="215">
        <v>140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IFERROR(__xludf.DUMMYFUNCTION("IMPORTRANGE(""https://docs.google.com/spreadsheets/d/1QqKyyYR6Q21VydFLVH3TRQUabQu_ym0Zz7PgGX0-kHA/edit?usp=sharing"",""แผน!FN36"")"),70)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IFERROR(__xludf.DUMMYFUNCTION("IMPORTRANGE(""https://docs.google.com/spreadsheets/d/1QqKyyYR6Q21VydFLVH3TRQUabQu_ym0Zz7PgGX0-kHA/edit?usp=sharing"",""แผน!FX36"")"),131)</f>
        <v>131</v>
      </c>
      <c r="J465" s="588">
        <f>J485+J489+J492</f>
        <v>134</v>
      </c>
      <c r="K465" s="589">
        <f t="shared" ca="1" si="205"/>
        <v>102.29007633587786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IFERROR(__xludf.DUMMYFUNCTION("IMPORTRANGE(""https://docs.google.com/spreadsheets/d/1QqKyyYR6Q21VydFLVH3TRQUabQu_ym0Zz7PgGX0-kHA/edit?usp=sharing"",""แผน!FW36"")"),1300)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1167258</v>
      </c>
      <c r="M467" s="195">
        <f t="shared" ca="1" si="206"/>
        <v>1167258</v>
      </c>
      <c r="N467" s="195">
        <f t="shared" si="206"/>
        <v>260923.35</v>
      </c>
      <c r="O467" s="195">
        <f t="shared" ref="O467:O472" ca="1" si="207">IF(L467&gt;0,N467*100/L467,0)</f>
        <v>22.353528525827194</v>
      </c>
      <c r="P467" s="195">
        <f t="shared" ref="P467:P472" ca="1" si="208">IF(M467&gt;0,N467*100/M467,0)</f>
        <v>22.353528525827194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1167258</v>
      </c>
      <c r="M469" s="93">
        <f t="shared" ca="1" si="209"/>
        <v>1167258</v>
      </c>
      <c r="N469" s="93">
        <f t="shared" si="209"/>
        <v>260923.35</v>
      </c>
      <c r="O469" s="93">
        <f t="shared" ca="1" si="207"/>
        <v>22.353528525827194</v>
      </c>
      <c r="P469" s="93">
        <f t="shared" ca="1" si="208"/>
        <v>22.353528525827194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1167258</v>
      </c>
      <c r="M470" s="497">
        <f t="shared" ca="1" si="210"/>
        <v>1167258</v>
      </c>
      <c r="N470" s="497">
        <f t="shared" si="210"/>
        <v>260923.35</v>
      </c>
      <c r="O470" s="497">
        <f t="shared" ca="1" si="207"/>
        <v>22.353528525827194</v>
      </c>
      <c r="P470" s="497">
        <f t="shared" ca="1" si="208"/>
        <v>22.353528525827194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IFERROR(__xludf.DUMMYFUNCTION("IMPORTRANGE(""https://docs.google.com/spreadsheets/d/1QqKyyYR6Q21VydFLVH3TRQUabQu_ym0Zz7PgGX0-kHA/edit?usp=sharing"",""แผน!FS36"")"),1167258)</f>
        <v>1167258</v>
      </c>
      <c r="M472" s="93">
        <f ca="1">L472</f>
        <v>1167258</v>
      </c>
      <c r="N472" s="93">
        <f>N473+N474+N475+N476</f>
        <v>260923.35</v>
      </c>
      <c r="O472" s="93">
        <f t="shared" ca="1" si="207"/>
        <v>22.353528525827194</v>
      </c>
      <c r="P472" s="93">
        <f t="shared" ca="1" si="208"/>
        <v>22.353528525827194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180050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62833.35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18040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IFERROR(__xludf.DUMMYFUNCTION("IMPORTRANGE(""https://docs.google.com/spreadsheets/d/1QqKyyYR6Q21VydFLVH3TRQUabQu_ym0Zz7PgGX0-kHA/edit?usp=sharing"",""แผน!FY36"")"),1170)</f>
        <v>1170</v>
      </c>
      <c r="J483" s="215">
        <v>1247</v>
      </c>
      <c r="K483" s="497">
        <f ca="1">IF(I483&gt;0,J483*100/I483,0)</f>
        <v>106.58119658119658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IFERROR(__xludf.DUMMYFUNCTION("IMPORTRANGE(""https://docs.google.com/spreadsheets/d/1QqKyyYR6Q21VydFLVH3TRQUabQu_ym0Zz7PgGX0-kHA/edit?usp=sharing"",""แผน!FZ36"")"),117)</f>
        <v>117</v>
      </c>
      <c r="J485" s="215">
        <v>110</v>
      </c>
      <c r="K485" s="497">
        <f ca="1">IF(I485&gt;0,J485*100/I485,0)</f>
        <v>94.017094017094024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IFERROR(__xludf.DUMMYFUNCTION("IMPORTRANGE(""https://docs.google.com/spreadsheets/d/1QqKyyYR6Q21VydFLVH3TRQUabQu_ym0Zz7PgGX0-kHA/edit?usp=sharing"",""แผน!GA36"")"),130)</f>
        <v>130</v>
      </c>
      <c r="J487" s="215">
        <v>57</v>
      </c>
      <c r="K487" s="497">
        <f ca="1">IF(I487&gt;0,J487*100/I487,0)</f>
        <v>43.846153846153847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IFERROR(__xludf.DUMMYFUNCTION("IMPORTRANGE(""https://docs.google.com/spreadsheets/d/1QqKyyYR6Q21VydFLVH3TRQUabQu_ym0Zz7PgGX0-kHA/edit?usp=sharing"",""แผน!GB36"")"),13)</f>
        <v>13</v>
      </c>
      <c r="J489" s="215">
        <v>23</v>
      </c>
      <c r="K489" s="497">
        <f ca="1">IF(I489&gt;0,J489*100/I489,0)</f>
        <v>176.92307692307693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IFERROR(__xludf.DUMMYFUNCTION("IMPORTRANGE(""https://docs.google.com/spreadsheets/d/1QqKyyYR6Q21VydFLVH3TRQUabQu_ym0Zz7PgGX0-kHA/edit?usp=sharing"",""แผน!FY36"")"),1170)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IFERROR(__xludf.DUMMYFUNCTION("IMPORTRANGE(""https://docs.google.com/spreadsheets/d/1QqKyyYR6Q21VydFLVH3TRQUabQu_ym0Zz7PgGX0-kHA/edit?usp=sharing"",""แผน!GA36"")"),130)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50</v>
      </c>
      <c r="J522" s="706">
        <f t="shared" ca="1" si="225"/>
        <v>50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410886.82</v>
      </c>
      <c r="O523" s="195">
        <f t="shared" ref="O523:O528" ca="1" si="227">IF(L523&gt;0,N523*100/L523,0)</f>
        <v>96.122869976138119</v>
      </c>
      <c r="P523" s="195">
        <f t="shared" ref="P523:P528" ca="1" si="228">IF(M523&gt;0,N523*100/M523,0)</f>
        <v>96.122869976138119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410886.82</v>
      </c>
      <c r="O525" s="93">
        <f t="shared" ca="1" si="227"/>
        <v>96.122869976138119</v>
      </c>
      <c r="P525" s="93">
        <f t="shared" ca="1" si="228"/>
        <v>96.122869976138119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410886.82</v>
      </c>
      <c r="O526" s="497">
        <f t="shared" ca="1" si="227"/>
        <v>96.122869976138119</v>
      </c>
      <c r="P526" s="497">
        <f t="shared" ca="1" si="228"/>
        <v>96.122869976138119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IFERROR(__xludf.DUMMYFUNCTION("IMPORTRANGE(""https://docs.google.com/spreadsheets/d/1QqKyyYR6Q21VydFLVH3TRQUabQu_ym0Zz7PgGX0-kHA/edit?usp=sharing"",""แผน!GQ36"")"),427460)</f>
        <v>427460</v>
      </c>
      <c r="M528" s="93">
        <f ca="1">L528</f>
        <v>427460</v>
      </c>
      <c r="N528" s="93">
        <f>N529+N530+N531+N532</f>
        <v>410886.82</v>
      </c>
      <c r="O528" s="93">
        <f t="shared" ca="1" si="227"/>
        <v>96.122869976138119</v>
      </c>
      <c r="P528" s="93">
        <f t="shared" ca="1" si="228"/>
        <v>96.122869976138119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151920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249786.82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9180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IFERROR(__xludf.DUMMYFUNCTION("IMPORTRANGE(""https://docs.google.com/spreadsheets/d/1QqKyyYR6Q21VydFLVH3TRQUabQu_ym0Zz7PgGX0-kHA/edit?usp=sharing"",""แผน!GU36"")"),50)</f>
        <v>50</v>
      </c>
      <c r="J537" s="679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103382</v>
      </c>
      <c r="J543" s="685">
        <f t="shared" si="235"/>
        <v>103382.13400000001</v>
      </c>
      <c r="K543" s="686">
        <f t="shared" ca="1" si="234"/>
        <v>100.00012961637422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759787</v>
      </c>
      <c r="M544" s="155">
        <f t="shared" ca="1" si="236"/>
        <v>759787</v>
      </c>
      <c r="N544" s="155">
        <f t="shared" si="236"/>
        <v>413002.32</v>
      </c>
      <c r="O544" s="155">
        <f t="shared" ref="O544:O549" ca="1" si="237">IF(L544&gt;0,N544*100/L544,0)</f>
        <v>54.357644971551238</v>
      </c>
      <c r="P544" s="155">
        <f t="shared" ref="P544:P549" ca="1" si="238">IF(M544&gt;0,N544*100/M544,0)</f>
        <v>54.357644971551238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759787</v>
      </c>
      <c r="M546" s="93">
        <f t="shared" ca="1" si="240"/>
        <v>759787</v>
      </c>
      <c r="N546" s="93">
        <f t="shared" si="240"/>
        <v>413002.32</v>
      </c>
      <c r="O546" s="93">
        <f t="shared" ca="1" si="237"/>
        <v>54.357644971551238</v>
      </c>
      <c r="P546" s="93">
        <f t="shared" ca="1" si="238"/>
        <v>54.357644971551238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759787</v>
      </c>
      <c r="M547" s="497">
        <f t="shared" ca="1" si="241"/>
        <v>759787</v>
      </c>
      <c r="N547" s="497">
        <f t="shared" si="241"/>
        <v>413002.32</v>
      </c>
      <c r="O547" s="497">
        <f t="shared" ca="1" si="237"/>
        <v>54.357644971551238</v>
      </c>
      <c r="P547" s="497">
        <f t="shared" ca="1" si="238"/>
        <v>54.357644971551238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IFERROR(__xludf.DUMMYFUNCTION("IMPORTRANGE(""https://docs.google.com/spreadsheets/d/1QqKyyYR6Q21VydFLVH3TRQUabQu_ym0Zz7PgGX0-kHA/edit?usp=sharing"",""แผน!HB36"")"),759787)</f>
        <v>759787</v>
      </c>
      <c r="M549" s="93">
        <f ca="1">L549</f>
        <v>759787</v>
      </c>
      <c r="N549" s="93">
        <f>N550+N551+N552+N553+N554</f>
        <v>413002.32</v>
      </c>
      <c r="O549" s="93">
        <f t="shared" ca="1" si="237"/>
        <v>54.357644971551238</v>
      </c>
      <c r="P549" s="93">
        <f t="shared" ca="1" si="238"/>
        <v>54.357644971551238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64566.67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348435.65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103382</v>
      </c>
      <c r="J559" s="706">
        <f t="shared" si="245"/>
        <v>103382.13400000001</v>
      </c>
      <c r="K559" s="675">
        <f t="shared" ref="K559:K561" ca="1" si="246">IF(I559&gt;0,J559*100/I559,0)</f>
        <v>100.00012961637422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IFERROR(__xludf.DUMMYFUNCTION("IMPORTRANGE(""https://docs.google.com/spreadsheets/d/1QqKyyYR6Q21VydFLVH3TRQUabQu_ym0Zz7PgGX0-kHA/edit?usp=sharing"",""แผน!HH36"")"),103382)</f>
        <v>103382</v>
      </c>
      <c r="J560" s="193">
        <f t="shared" ref="J560:J561" si="247">J562+J564+J566</f>
        <v>103382.3475</v>
      </c>
      <c r="K560" s="411">
        <f t="shared" ca="1" si="246"/>
        <v>100.00033613201525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IFERROR(__xludf.DUMMYFUNCTION("IMPORTRANGE(""https://docs.google.com/spreadsheets/d/1QqKyyYR6Q21VydFLVH3TRQUabQu_ym0Zz7PgGX0-kHA/edit?usp=sharing"",""แผน!HG36"")"),10317)</f>
        <v>10317</v>
      </c>
      <c r="J561" s="193">
        <f t="shared" si="247"/>
        <v>10317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75688.600000000006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8094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25321.647499999999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2006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2372.1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217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IFERROR(__xludf.DUMMYFUNCTION("IMPORTRANGE(""https://docs.google.com/spreadsheets/d/1QqKyyYR6Q21VydFLVH3TRQUabQu_ym0Zz7PgGX0-kHA/edit?usp=sharing"",""แผน!HH36"")"),103382)</f>
        <v>103382</v>
      </c>
      <c r="J568" s="679">
        <f t="shared" ref="J568:J569" si="248">J570+J572+J574</f>
        <v>103382.13400000001</v>
      </c>
      <c r="K568" s="411">
        <f t="shared" ref="K568:K569" ca="1" si="249">IF(I568&gt;0,J568*100/I568,0)</f>
        <v>100.00012961637422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IFERROR(__xludf.DUMMYFUNCTION("IMPORTRANGE(""https://docs.google.com/spreadsheets/d/1QqKyyYR6Q21VydFLVH3TRQUabQu_ym0Zz7PgGX0-kHA/edit?usp=sharing"",""แผน!HG36"")"),10317)</f>
        <v>10317</v>
      </c>
      <c r="J569" s="679">
        <f t="shared" si="248"/>
        <v>10317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79701.981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8455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20680.03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1588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3000.123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274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IFERROR(__xludf.DUMMYFUNCTION("IMPORTRANGE(""https://docs.google.com/spreadsheets/d/1QqKyyYR6Q21VydFLVH3TRQUabQu_ym0Zz7PgGX0-kHA/edit?usp=sharing"",""แผน!HH36"")"),103382)</f>
        <v>103382</v>
      </c>
      <c r="J576" s="679">
        <f t="shared" ref="J576:J577" si="250">J578+J580+J582+J588+J590</f>
        <v>103382.13400000001</v>
      </c>
      <c r="K576" s="411">
        <f t="shared" ref="K576:K577" ca="1" si="251">IF(I576&gt;0,J576*100/I576,0)</f>
        <v>100.00012961637422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IFERROR(__xludf.DUMMYFUNCTION("IMPORTRANGE(""https://docs.google.com/spreadsheets/d/1QqKyyYR6Q21VydFLVH3TRQUabQu_ym0Zz7PgGX0-kHA/edit?usp=sharing"",""แผน!HG36"")"),10317)</f>
        <v>10317</v>
      </c>
      <c r="J577" s="679">
        <f t="shared" si="250"/>
        <v>10317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79701.981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8455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20680.03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1588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3000.123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274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3000.123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274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10751.98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IFERROR(__xludf.DUMMYFUNCTION("IMPORTRANGE(""https://docs.google.com/spreadsheets/d/1QqKyyYR6Q21VydFLVH3TRQUabQu_ym0Zz7PgGX0-kHA/edit?usp=sharing"",""แผน!HJ36"")"),10751.98)</f>
        <v>10751.98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IFERROR(__xludf.DUMMYFUNCTION("IMPORTRANGE(""https://docs.google.com/spreadsheets/d/1QqKyyYR6Q21VydFLVH3TRQUabQu_ym0Zz7PgGX0-kHA/edit?usp=sharing"",""แผน!HI36"")"),823)</f>
        <v>823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IFERROR(__xludf.DUMMYFUNCTION("IMPORTRANGE(""https://docs.google.com/spreadsheets/d/1QqKyyYR6Q21VydFLVH3TRQUabQu_ym0Zz7PgGX0-kHA/edit?usp=sharing"",""แผน!HL36"")"),199)</f>
        <v>199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IFERROR(__xludf.DUMMYFUNCTION("IMPORTRANGE(""https://docs.google.com/spreadsheets/d/1QqKyyYR6Q21VydFLVH3TRQUabQu_ym0Zz7PgGX0-kHA/edit?usp=sharing"",""แผน!HK36"")"),14)</f>
        <v>14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2500</v>
      </c>
      <c r="J628" s="739">
        <f t="shared" ca="1" si="262"/>
        <v>1051</v>
      </c>
      <c r="K628" s="740">
        <f ca="1">IF(I628&gt;0,J628*100/I628,0)</f>
        <v>42.04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2073125</v>
      </c>
      <c r="M629" s="195">
        <f t="shared" ca="1" si="263"/>
        <v>2073125</v>
      </c>
      <c r="N629" s="195">
        <f t="shared" si="263"/>
        <v>1301912.52</v>
      </c>
      <c r="O629" s="195">
        <f t="shared" ref="O629:O634" ca="1" si="264">IF(L629&gt;0,N629*100/L629,0)</f>
        <v>62.799518601145614</v>
      </c>
      <c r="P629" s="195">
        <f t="shared" ref="P629:P634" ca="1" si="265">IF(M629&gt;0,N629*100/M629,0)</f>
        <v>62.799518601145614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2073125</v>
      </c>
      <c r="M631" s="93">
        <f t="shared" ca="1" si="266"/>
        <v>2073125</v>
      </c>
      <c r="N631" s="93">
        <f t="shared" si="266"/>
        <v>1301912.52</v>
      </c>
      <c r="O631" s="93">
        <f t="shared" ca="1" si="264"/>
        <v>62.799518601145614</v>
      </c>
      <c r="P631" s="93">
        <f t="shared" ca="1" si="265"/>
        <v>62.799518601145614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2073125</v>
      </c>
      <c r="M632" s="497">
        <f t="shared" ca="1" si="267"/>
        <v>2073125</v>
      </c>
      <c r="N632" s="497">
        <f t="shared" si="267"/>
        <v>1301912.52</v>
      </c>
      <c r="O632" s="497">
        <f t="shared" ca="1" si="264"/>
        <v>62.799518601145614</v>
      </c>
      <c r="P632" s="497">
        <f t="shared" ca="1" si="265"/>
        <v>62.799518601145614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IFERROR(__xludf.DUMMYFUNCTION("IMPORTRANGE(""https://docs.google.com/spreadsheets/d/1QqKyyYR6Q21VydFLVH3TRQUabQu_ym0Zz7PgGX0-kHA/edit?usp=sharing"",""แผน!HN36"")"),2073125)</f>
        <v>2073125</v>
      </c>
      <c r="M634" s="93">
        <f ca="1">L634</f>
        <v>2073125</v>
      </c>
      <c r="N634" s="93">
        <f>N635+N636+N637+N638</f>
        <v>1301912.52</v>
      </c>
      <c r="O634" s="93">
        <f t="shared" ca="1" si="264"/>
        <v>62.799518601145614</v>
      </c>
      <c r="P634" s="93">
        <f t="shared" ca="1" si="265"/>
        <v>62.799518601145614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194566.67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1107345.8500000001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IFERROR(__xludf.DUMMYFUNCTION("IMPORTRANGE(""https://docs.google.com/spreadsheets/d/1XWAQStnk-4SwqDmLtmXYiTMKHgktTP8We1SCoS47DrQ/edit?usp=sharing"",""จัดที่ดิน!AS36"")"),897)</f>
        <v>897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IFERROR(__xludf.DUMMYFUNCTION("IMPORTRANGE(""https://docs.google.com/spreadsheets/d/1XWAQStnk-4SwqDmLtmXYiTMKHgktTP8We1SCoS47DrQ/edit?usp=sharing"",""จัดที่ดิน!AT36"")"),850.55)</f>
        <v>850.55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IFERROR(__xludf.DUMMYFUNCTION("IMPORTRANGE(""https://docs.google.com/spreadsheets/d/1QqKyyYR6Q21VydFLVH3TRQUabQu_ym0Zz7PgGX0-kHA/edit?usp=sharing"",""แผน!HS36"")"),2500)</f>
        <v>2500</v>
      </c>
      <c r="J647" s="270">
        <f ca="1">IFERROR(__xludf.DUMMYFUNCTION("IMPORTRANGE(""https://docs.google.com/spreadsheets/d/1XWAQStnk-4SwqDmLtmXYiTMKHgktTP8We1SCoS47DrQ/edit?usp=sharing"",""จัดที่ดิน!AU36"")"),2670)</f>
        <v>2670</v>
      </c>
      <c r="K647" s="163">
        <f t="shared" ca="1" si="271"/>
        <v>106.8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IFERROR(__xludf.DUMMYFUNCTION("IMPORTRANGE(""https://docs.google.com/spreadsheets/d/1XWAQStnk-4SwqDmLtmXYiTMKHgktTP8We1SCoS47DrQ/edit?usp=sharing"",""จัดที่ดิน!AV36"")"),1619.23)</f>
        <v>1619.23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IFERROR(__xludf.DUMMYFUNCTION("IMPORTRANGE(""https://docs.google.com/spreadsheets/d/1QqKyyYR6Q21VydFLVH3TRQUabQu_ym0Zz7PgGX0-kHA/edit?usp=sharing"",""แผน!HS36"")"),2500)</f>
        <v>2500</v>
      </c>
      <c r="J649" s="270">
        <f ca="1">IFERROR(__xludf.DUMMYFUNCTION("IMPORTRANGE(""https://docs.google.com/spreadsheets/d/1XWAQStnk-4SwqDmLtmXYiTMKHgktTP8We1SCoS47DrQ/edit?usp=sharing"",""จัดที่ดิน!AW36"")"),2416)</f>
        <v>2416</v>
      </c>
      <c r="K649" s="163">
        <f t="shared" ca="1" si="271"/>
        <v>96.64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IFERROR(__xludf.DUMMYFUNCTION("IMPORTRANGE(""https://docs.google.com/spreadsheets/d/1XWAQStnk-4SwqDmLtmXYiTMKHgktTP8We1SCoS47DrQ/edit?usp=sharing"",""จัดที่ดิน!AX36"")"),1445.06)</f>
        <v>1445.06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IFERROR(__xludf.DUMMYFUNCTION("IMPORTRANGE(""https://docs.google.com/spreadsheets/d/1QqKyyYR6Q21VydFLVH3TRQUabQu_ym0Zz7PgGX0-kHA/edit?usp=sharing"",""แผน!HS36"")"),2500)</f>
        <v>2500</v>
      </c>
      <c r="J651" s="270">
        <f ca="1">IFERROR(__xludf.DUMMYFUNCTION("IMPORTRANGE(""https://docs.google.com/spreadsheets/d/1XWAQStnk-4SwqDmLtmXYiTMKHgktTP8We1SCoS47DrQ/edit?usp=sharing"",""จัดที่ดิน!AY36"")"),1051)</f>
        <v>1051</v>
      </c>
      <c r="K651" s="163">
        <f t="shared" ca="1" si="271"/>
        <v>42.04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IFERROR(__xludf.DUMMYFUNCTION("IMPORTRANGE(""https://docs.google.com/spreadsheets/d/1XWAQStnk-4SwqDmLtmXYiTMKHgktTP8We1SCoS47DrQ/edit?usp=sharing"",""จัดที่ดิน!AZ36"")"),638.625)</f>
        <v>638.625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320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28800</v>
      </c>
      <c r="M655" s="195">
        <f t="shared" ca="1" si="273"/>
        <v>28800</v>
      </c>
      <c r="N655" s="195">
        <f t="shared" si="273"/>
        <v>31130</v>
      </c>
      <c r="O655" s="195">
        <f t="shared" ref="O655:O660" ca="1" si="274">IF(L655&gt;0,N655*100/L655,0)</f>
        <v>108.09027777777777</v>
      </c>
      <c r="P655" s="195">
        <f t="shared" ref="P655:P660" ca="1" si="275">IF(M655&gt;0,N655*100/M655,0)</f>
        <v>108.09027777777777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28800</v>
      </c>
      <c r="M657" s="93">
        <f t="shared" ca="1" si="276"/>
        <v>28800</v>
      </c>
      <c r="N657" s="93">
        <f t="shared" si="276"/>
        <v>31130</v>
      </c>
      <c r="O657" s="93">
        <f t="shared" ca="1" si="274"/>
        <v>108.09027777777777</v>
      </c>
      <c r="P657" s="93">
        <f t="shared" ca="1" si="275"/>
        <v>108.09027777777777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28800</v>
      </c>
      <c r="M658" s="497">
        <f t="shared" ca="1" si="277"/>
        <v>28800</v>
      </c>
      <c r="N658" s="497">
        <f t="shared" si="277"/>
        <v>31130</v>
      </c>
      <c r="O658" s="497">
        <f t="shared" ca="1" si="274"/>
        <v>108.09027777777777</v>
      </c>
      <c r="P658" s="497">
        <f t="shared" ca="1" si="275"/>
        <v>108.09027777777777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IFERROR(__xludf.DUMMYFUNCTION("IMPORTRANGE(""https://docs.google.com/spreadsheets/d/1QqKyyYR6Q21VydFLVH3TRQUabQu_ym0Zz7PgGX0-kHA/edit?usp=sharing"",""แผน!HV36"")"),28800)</f>
        <v>28800</v>
      </c>
      <c r="M660" s="93">
        <f ca="1">L660</f>
        <v>28800</v>
      </c>
      <c r="N660" s="93">
        <f>N661+N662+N663+N664</f>
        <v>31130</v>
      </c>
      <c r="O660" s="93">
        <f t="shared" ca="1" si="274"/>
        <v>108.09027777777777</v>
      </c>
      <c r="P660" s="93">
        <f t="shared" ca="1" si="275"/>
        <v>108.09027777777777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31130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IFERROR(__xludf.DUMMYFUNCTION("IMPORTRANGE(""https://docs.google.com/spreadsheets/d/1QqKyyYR6Q21VydFLVH3TRQUabQu_ym0Zz7PgGX0-kHA/edit?usp=sharing"",""แผน!IA36"")"),320)</f>
        <v>320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2596</v>
      </c>
      <c r="K672" s="497">
        <f t="shared" ref="K672:K675" ca="1" si="281">IF(I$669&gt;0,J672*100/I$669,0)</f>
        <v>811.25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1223</v>
      </c>
      <c r="K673" s="497">
        <f t="shared" ca="1" si="281"/>
        <v>382.1875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582</v>
      </c>
      <c r="K674" s="497">
        <f t="shared" ca="1" si="281"/>
        <v>181.875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5200</v>
      </c>
      <c r="M685" s="195">
        <f t="shared" ca="1" si="282"/>
        <v>5200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5200</v>
      </c>
      <c r="M687" s="93">
        <f t="shared" ca="1" si="285"/>
        <v>5200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5200</v>
      </c>
      <c r="M688" s="497">
        <f t="shared" ca="1" si="286"/>
        <v>5200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IFERROR(__xludf.DUMMYFUNCTION("IMPORTRANGE(""https://docs.google.com/spreadsheets/d/1QqKyyYR6Q21VydFLVH3TRQUabQu_ym0Zz7PgGX0-kHA/edit?usp=sharing"",""แผน!HW36"")"),5200)</f>
        <v>5200</v>
      </c>
      <c r="M690" s="93">
        <f ca="1">L690</f>
        <v>5200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IFERROR(__xludf.DUMMYFUNCTION("IMPORTRANGE(""https://docs.google.com/spreadsheets/d/1QqKyyYR6Q21VydFLVH3TRQUabQu_ym0Zz7PgGX0-kHA/edit?usp=sharing"",""แผน!IC36"")"),0)</f>
        <v>0</v>
      </c>
      <c r="J699" s="270">
        <f ca="1">IFERROR(__xludf.DUMMYFUNCTION("IMPORTRANGE(""https://docs.google.com/spreadsheets/d/1XWAQStnk-4SwqDmLtmXYiTMKHgktTP8We1SCoS47DrQ/edit?usp=sharing"",""จัดที่ดิน!BB36"")"),0)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IFERROR(__xludf.DUMMYFUNCTION("IMPORTRANGE(""https://docs.google.com/spreadsheets/d/1QqKyyYR6Q21VydFLVH3TRQUabQu_ym0Zz7PgGX0-kHA/edit?usp=sharing"",""แผน!ID36"")"),35)</f>
        <v>35</v>
      </c>
      <c r="J700" s="270">
        <f ca="1">IFERROR(__xludf.DUMMYFUNCTION("IMPORTRANGE(""https://docs.google.com/spreadsheets/d/1XWAQStnk-4SwqDmLtmXYiTMKHgktTP8We1SCoS47DrQ/edit?usp=sharing"",""จัดที่ดิน!BD36"")"),5)</f>
        <v>5</v>
      </c>
      <c r="K700" s="497">
        <f t="shared" ca="1" si="290"/>
        <v>14.285714285714286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IFERROR(__xludf.DUMMYFUNCTION("IMPORTRANGE(""https://docs.google.com/spreadsheets/d/1QqKyyYR6Q21VydFLVH3TRQUabQu_ym0Zz7PgGX0-kHA/edit?usp=sharing"",""แผน!IE36"")"),0)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IFERROR(__xludf.DUMMYFUNCTION("IMPORTRANGE(""https://docs.google.com/spreadsheets/d/1QqKyyYR6Q21VydFLVH3TRQUabQu_ym0Zz7PgGX0-kHA/edit?usp=sharing"",""แผน!IG36"")"),0)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IFERROR(__xludf.DUMMYFUNCTION("IMPORTRANGE(""https://docs.google.com/spreadsheets/d/1QqKyyYR6Q21VydFLVH3TRQUabQu_ym0Zz7PgGX0-kHA/edit?usp=sharing"",""แผน!IH36"")"),0)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IFERROR(__xludf.DUMMYFUNCTION("IMPORTRANGE(""https://docs.google.com/spreadsheets/d/1XWAQStnk-4SwqDmLtmXYiTMKHgktTP8We1SCoS47DrQ/edit?usp=sharing"",""จัดที่ดิน!BF36"")"),0)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IFERROR(__xludf.DUMMYFUNCTION("IMPORTRANGE(""https://docs.google.com/spreadsheets/d/1XWAQStnk-4SwqDmLtmXYiTMKHgktTP8We1SCoS47DrQ/edit?usp=sharing"",""จัดที่ดิน!BG36"")"),0)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IFERROR(__xludf.DUMMYFUNCTION("IMPORTRANGE(""https://docs.google.com/spreadsheets/d/1QqKyyYR6Q21VydFLVH3TRQUabQu_ym0Zz7PgGX0-kHA/edit?usp=sharing"",""แผน!II36"")"),0)</f>
        <v>0</v>
      </c>
      <c r="J720" s="270">
        <f ca="1">IFERROR(__xludf.DUMMYFUNCTION("IMPORTRANGE(""https://docs.google.com/spreadsheets/d/1XWAQStnk-4SwqDmLtmXYiTMKHgktTP8We1SCoS47DrQ/edit?usp=sharing"",""จัดที่ดิน!BH36"")"),0)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IFERROR(__xludf.DUMMYFUNCTION("IMPORTRANGE(""https://docs.google.com/spreadsheets/d/1QqKyyYR6Q21VydFLVH3TRQUabQu_ym0Zz7PgGX0-kHA/edit?usp=sharing"",""แผน!IL36"")"),0)</f>
        <v>0</v>
      </c>
      <c r="J723" s="270">
        <f ca="1">IFERROR(__xludf.DUMMYFUNCTION("IMPORTRANGE(""https://docs.google.com/spreadsheets/d/1XWAQStnk-4SwqDmLtmXYiTMKHgktTP8We1SCoS47DrQ/edit?usp=sharing"",""จัดที่ดิน!BM36"")"),0)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IFERROR(__xludf.DUMMYFUNCTION("IMPORTRANGE(""https://docs.google.com/spreadsheets/d/1QqKyyYR6Q21VydFLVH3TRQUabQu_ym0Zz7PgGX0-kHA/edit?usp=sharing"",""แผน!IM36"")"),0)</f>
        <v>0</v>
      </c>
      <c r="J725" s="270">
        <f ca="1">IFERROR(__xludf.DUMMYFUNCTION("IMPORTRANGE(""https://docs.google.com/spreadsheets/d/1XWAQStnk-4SwqDmLtmXYiTMKHgktTP8We1SCoS47DrQ/edit?usp=sharing"",""จัดที่ดิน!BO36"")"),0)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IFERROR(__xludf.DUMMYFUNCTION("IMPORTRANGE(""https://docs.google.com/spreadsheets/d/1QqKyyYR6Q21VydFLVH3TRQUabQu_ym0Zz7PgGX0-kHA/edit?usp=sharing"",""แผน!IN36"")"),0)</f>
        <v>0</v>
      </c>
      <c r="J726" s="270">
        <f ca="1">IFERROR(__xludf.DUMMYFUNCTION("IMPORTRANGE(""https://docs.google.com/spreadsheets/d/1XWAQStnk-4SwqDmLtmXYiTMKHgktTP8We1SCoS47DrQ/edit?usp=sharing"",""จัดที่ดิน!BR36"")"),0)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IFERROR(__xludf.DUMMYFUNCTION("IMPORTRANGE(""https://docs.google.com/spreadsheets/d/1QqKyyYR6Q21VydFLVH3TRQUabQu_ym0Zz7PgGX0-kHA/edit?usp=sharing"",""แผน!IO36"")"),0)</f>
        <v>0</v>
      </c>
      <c r="J728" s="270">
        <f ca="1">IFERROR(__xludf.DUMMYFUNCTION("IMPORTRANGE(""https://docs.google.com/spreadsheets/d/1XWAQStnk-4SwqDmLtmXYiTMKHgktTP8We1SCoS47DrQ/edit?usp=sharing"",""จัดที่ดิน!BT36"")"),0)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4437</v>
      </c>
      <c r="K785" s="806">
        <f ca="1">IF(I785&gt;0,J785*100/I785,0)</f>
        <v>88.74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231736.57</v>
      </c>
      <c r="O786" s="195">
        <f t="shared" ref="O786:O791" ca="1" si="320">IF(L786&gt;0,N786*100/L786,0)</f>
        <v>69.133821599045348</v>
      </c>
      <c r="P786" s="195">
        <f t="shared" ref="P786:P791" ca="1" si="321">IF(M786&gt;0,N786*100/M786,0)</f>
        <v>69.133821599045348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231736.57</v>
      </c>
      <c r="O788" s="93">
        <f t="shared" ca="1" si="320"/>
        <v>69.133821599045348</v>
      </c>
      <c r="P788" s="93">
        <f t="shared" ca="1" si="321"/>
        <v>69.133821599045348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231736.57</v>
      </c>
      <c r="O789" s="497">
        <f t="shared" ca="1" si="320"/>
        <v>69.133821599045348</v>
      </c>
      <c r="P789" s="497">
        <f t="shared" ca="1" si="321"/>
        <v>69.133821599045348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IFERROR(__xludf.DUMMYFUNCTION("IMPORTRANGE(""https://docs.google.com/spreadsheets/d/1QqKyyYR6Q21VydFLVH3TRQUabQu_ym0Zz7PgGX0-kHA/edit?usp=sharing"",""แผน!JJ36"")"),335200)</f>
        <v>335200</v>
      </c>
      <c r="M791" s="93">
        <f ca="1">L791</f>
        <v>335200</v>
      </c>
      <c r="N791" s="93">
        <f>N792+N793+N794+N795</f>
        <v>231736.57</v>
      </c>
      <c r="O791" s="93">
        <f t="shared" ca="1" si="320"/>
        <v>69.133821599045348</v>
      </c>
      <c r="P791" s="93">
        <f t="shared" ca="1" si="321"/>
        <v>69.133821599045348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64566.57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167170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IFERROR(__xludf.DUMMYFUNCTION("IMPORTRANGE(""https://docs.google.com/spreadsheets/d/1MaWodYyGHDf7siQLGxnXhG4mBNTNIuy296niS2xXulU/edit?usp=sharing"",""RTK!H36"")"),216)</f>
        <v>216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IFERROR(__xludf.DUMMYFUNCTION("IMPORTRANGE(""https://docs.google.com/spreadsheets/d/1MaWodYyGHDf7siQLGxnXhG4mBNTNIuy296niS2xXulU/edit?usp=sharing"",""RTK!G36"")"),5000)</f>
        <v>5000</v>
      </c>
      <c r="J801" s="820">
        <f ca="1">IFERROR(__xludf.DUMMYFUNCTION("IMPORTRANGE(""https://docs.google.com/spreadsheets/d/1MaWodYyGHDf7siQLGxnXhG4mBNTNIuy296niS2xXulU/edit?usp=sharing"",""RTK!I36"")"),4437)</f>
        <v>4437</v>
      </c>
      <c r="K801" s="821">
        <f ca="1">IF(I801&gt;0,J801*100/I801,0)</f>
        <v>88.74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IFERROR(__xludf.DUMMYFUNCTION("IMPORTRANGE(""https://docs.google.com/spreadsheets/d/1MaWodYyGHDf7siQLGxnXhG4mBNTNIuy296niS2xXulU/edit?usp=sharing"",""RTK!K36"")"),0)</f>
        <v>0</v>
      </c>
      <c r="J803" s="820">
        <f ca="1">IFERROR(__xludf.DUMMYFUNCTION("IMPORTRANGE(""https://docs.google.com/spreadsheets/d/1MaWodYyGHDf7siQLGxnXhG4mBNTNIuy296niS2xXulU/edit?usp=sharing"",""RTK!M36"")"),0)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IFERROR(__xludf.DUMMYFUNCTION("IMPORTRANGE(""https://docs.google.com/spreadsheets/d/19vJNZY_5yjcGF2XGBMNZRCAIB0Kwfpjp8YEOfu-bneM/edit?usp=sharing"",""งานกองทุน!D36"")"),15000000)</f>
        <v>15000000</v>
      </c>
      <c r="J821" s="270">
        <f ca="1">IFERROR(__xludf.DUMMYFUNCTION("IMPORTRANGE(""https://docs.google.com/spreadsheets/d/19vJNZY_5yjcGF2XGBMNZRCAIB0Kwfpjp8YEOfu-bneM/edit?usp=sharing"",""งานกองทุน!F36"")"),6281200)</f>
        <v>6281200</v>
      </c>
      <c r="K821" s="497">
        <f t="shared" ref="K821:K828" ca="1" si="336">IF(I821&gt;0,J821*100/I821,0)</f>
        <v>41.87466666666667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IFERROR(__xludf.DUMMYFUNCTION("IMPORTRANGE(""https://docs.google.com/spreadsheets/d/19vJNZY_5yjcGF2XGBMNZRCAIB0Kwfpjp8YEOfu-bneM/edit?usp=sharing"",""งานกองทุน!C36"")"),391)</f>
        <v>391</v>
      </c>
      <c r="J822" s="270">
        <f ca="1">IFERROR(__xludf.DUMMYFUNCTION("IMPORTRANGE(""https://docs.google.com/spreadsheets/d/19vJNZY_5yjcGF2XGBMNZRCAIB0Kwfpjp8YEOfu-bneM/edit?usp=sharing"",""งานกองทุน!E36"")"),179)</f>
        <v>179</v>
      </c>
      <c r="K822" s="497">
        <f t="shared" ca="1" si="336"/>
        <v>45.78005115089514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270">
        <f ca="1">IFERROR(__xludf.DUMMYFUNCTION("IMPORTRANGE(""https://docs.google.com/spreadsheets/d/19vJNZY_5yjcGF2XGBMNZRCAIB0Kwfpjp8YEOfu-bneM/edit?usp=sharing"",""งานกองทุน!K36"")"),495406.06)</f>
        <v>495406.06</v>
      </c>
      <c r="K823" s="497">
        <f t="shared" ca="1" si="336"/>
        <v>6.7572909138150283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IFERROR(__xludf.DUMMYFUNCTION("IMPORTRANGE(""https://docs.google.com/spreadsheets/d/19vJNZY_5yjcGF2XGBMNZRCAIB0Kwfpjp8YEOfu-bneM/edit?usp=sharing"",""งานกองทุน!H36"")"),232)</f>
        <v>232</v>
      </c>
      <c r="J824" s="270">
        <f ca="1">IFERROR(__xludf.DUMMYFUNCTION("IMPORTRANGE(""https://docs.google.com/spreadsheets/d/19vJNZY_5yjcGF2XGBMNZRCAIB0Kwfpjp8YEOfu-bneM/edit?usp=sharing"",""งานกองทุน!J36"")"),64)</f>
        <v>64</v>
      </c>
      <c r="K824" s="497">
        <f t="shared" ca="1" si="336"/>
        <v>27.586206896551722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IFERROR(__xludf.DUMMYFUNCTION("IMPORTRANGE(""https://docs.google.com/spreadsheets/d/19vJNZY_5yjcGF2XGBMNZRCAIB0Kwfpjp8YEOfu-bneM/edit?usp=sharing"",""งานกองทุน!N36"")"),51685.48)</f>
        <v>51685.48</v>
      </c>
      <c r="J825" s="270">
        <f ca="1">IFERROR(__xludf.DUMMYFUNCTION("IMPORTRANGE(""https://docs.google.com/spreadsheets/d/19vJNZY_5yjcGF2XGBMNZRCAIB0Kwfpjp8YEOfu-bneM/edit?usp=sharing"",""งานกองทุน!P36"")"),51346.89)</f>
        <v>51346.89</v>
      </c>
      <c r="K825" s="497">
        <f t="shared" ca="1" si="336"/>
        <v>99.344903055945295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IFERROR(__xludf.DUMMYFUNCTION("IMPORTRANGE(""https://docs.google.com/spreadsheets/d/19vJNZY_5yjcGF2XGBMNZRCAIB0Kwfpjp8YEOfu-bneM/edit?usp=sharing"",""งานกองทุน!M36"")"),268)</f>
        <v>268</v>
      </c>
      <c r="J826" s="270">
        <f ca="1">IFERROR(__xludf.DUMMYFUNCTION("IMPORTRANGE(""https://docs.google.com/spreadsheets/d/19vJNZY_5yjcGF2XGBMNZRCAIB0Kwfpjp8YEOfu-bneM/edit?usp=sharing"",""งานกองทุน!O36"")"),165)</f>
        <v>165</v>
      </c>
      <c r="K826" s="497">
        <f t="shared" ca="1" si="336"/>
        <v>61.567164179104481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IFERROR(__xludf.DUMMYFUNCTION("IMPORTRANGE(""https://docs.google.com/spreadsheets/d/19vJNZY_5yjcGF2XGBMNZRCAIB0Kwfpjp8YEOfu-bneM/edit?usp=sharing"",""งานกองทุน!S36"")"),11300000)</f>
        <v>11300000</v>
      </c>
      <c r="J827" s="270">
        <f ca="1">IFERROR(__xludf.DUMMYFUNCTION("IMPORTRANGE(""https://docs.google.com/spreadsheets/d/19vJNZY_5yjcGF2XGBMNZRCAIB0Kwfpjp8YEOfu-bneM/edit?usp=sharing"",""งานกองทุน!U36"")"),4068000)</f>
        <v>4068000</v>
      </c>
      <c r="K827" s="497">
        <f t="shared" ca="1" si="336"/>
        <v>36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IFERROR(__xludf.DUMMYFUNCTION("IMPORTRANGE(""https://docs.google.com/spreadsheets/d/19vJNZY_5yjcGF2XGBMNZRCAIB0Kwfpjp8YEOfu-bneM/edit?usp=sharing"",""งานกองทุน!R36"")"),452)</f>
        <v>452</v>
      </c>
      <c r="J828" s="504">
        <f ca="1">IFERROR(__xludf.DUMMYFUNCTION("IMPORTRANGE(""https://docs.google.com/spreadsheets/d/19vJNZY_5yjcGF2XGBMNZRCAIB0Kwfpjp8YEOfu-bneM/edit?usp=sharing"",""งานกองทุน!T36"")"),105)</f>
        <v>105</v>
      </c>
      <c r="K828" s="505">
        <f t="shared" ca="1" si="336"/>
        <v>23.23008849557522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07326-9BBE-45FE-B82B-118DAF8A853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8540907</v>
      </c>
      <c r="M8" s="22">
        <f t="shared" ca="1" si="0"/>
        <v>8024390</v>
      </c>
      <c r="N8" s="22">
        <f t="shared" ca="1" si="0"/>
        <v>5094622.21</v>
      </c>
      <c r="O8" s="22">
        <f t="shared" ref="O8:O16" ca="1" si="1">IF(L8&gt;0,N8*100/L8,0)</f>
        <v>59.649662617799258</v>
      </c>
      <c r="P8" s="22">
        <f t="shared" ref="P8:P16" ca="1" si="2">IF(M8&gt;0,N8*100/M8,0)</f>
        <v>63.489214881131154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8540907</v>
      </c>
      <c r="M10" s="30">
        <f t="shared" ca="1" si="3"/>
        <v>8024390</v>
      </c>
      <c r="N10" s="30">
        <f t="shared" ca="1" si="3"/>
        <v>5094622.21</v>
      </c>
      <c r="O10" s="30">
        <f t="shared" ca="1" si="1"/>
        <v>59.649662617799258</v>
      </c>
      <c r="P10" s="30">
        <f t="shared" ca="1" si="2"/>
        <v>63.489214881131154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6280707</v>
      </c>
      <c r="M11" s="497">
        <f t="shared" ca="1" si="4"/>
        <v>5764190</v>
      </c>
      <c r="N11" s="497">
        <f t="shared" ca="1" si="4"/>
        <v>2837422.21</v>
      </c>
      <c r="O11" s="497">
        <f t="shared" ca="1" si="1"/>
        <v>45.176796338374011</v>
      </c>
      <c r="P11" s="497">
        <f t="shared" ca="1" si="2"/>
        <v>49.224994491854019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6280707</v>
      </c>
      <c r="M13" s="93">
        <f t="shared" ca="1" si="5"/>
        <v>5764190</v>
      </c>
      <c r="N13" s="93">
        <f t="shared" ca="1" si="5"/>
        <v>2837422.21</v>
      </c>
      <c r="O13" s="93">
        <f t="shared" ca="1" si="1"/>
        <v>45.176796338374011</v>
      </c>
      <c r="P13" s="93">
        <f t="shared" ca="1" si="2"/>
        <v>49.224994491854019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2260200</v>
      </c>
      <c r="M14" s="497">
        <f t="shared" ca="1" si="6"/>
        <v>2260200</v>
      </c>
      <c r="N14" s="497">
        <f t="shared" ca="1" si="6"/>
        <v>2257200</v>
      </c>
      <c r="O14" s="497">
        <f t="shared" ca="1" si="1"/>
        <v>99.867268383328906</v>
      </c>
      <c r="P14" s="497">
        <f t="shared" ca="1" si="2"/>
        <v>99.867268383328906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2260200</v>
      </c>
      <c r="M16" s="52">
        <f t="shared" ca="1" si="7"/>
        <v>2260200</v>
      </c>
      <c r="N16" s="52">
        <f t="shared" ca="1" si="7"/>
        <v>2257200</v>
      </c>
      <c r="O16" s="52">
        <f t="shared" ca="1" si="1"/>
        <v>99.867268383328906</v>
      </c>
      <c r="P16" s="52">
        <f t="shared" ca="1" si="2"/>
        <v>99.867268383328906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5737552</v>
      </c>
      <c r="M18" s="22">
        <f t="shared" ca="1" si="8"/>
        <v>5221035</v>
      </c>
      <c r="N18" s="22">
        <f t="shared" ca="1" si="8"/>
        <v>4361647.21</v>
      </c>
      <c r="O18" s="22">
        <f t="shared" ref="O18:O26" ca="1" si="9">IF(L18&gt;0,N18*100/L18,0)</f>
        <v>76.019305968817363</v>
      </c>
      <c r="P18" s="22">
        <f t="shared" ref="P18:P26" ca="1" si="10">IF(M18&gt;0,N18*100/M18,0)</f>
        <v>83.539896016785946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5737552</v>
      </c>
      <c r="M20" s="30">
        <f t="shared" ca="1" si="11"/>
        <v>5221035</v>
      </c>
      <c r="N20" s="30">
        <f t="shared" ca="1" si="11"/>
        <v>4361647.21</v>
      </c>
      <c r="O20" s="30">
        <f t="shared" ca="1" si="9"/>
        <v>76.019305968817363</v>
      </c>
      <c r="P20" s="30">
        <f t="shared" ca="1" si="10"/>
        <v>83.539896016785946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3477352</v>
      </c>
      <c r="M21" s="497">
        <f t="shared" ca="1" si="12"/>
        <v>2960835</v>
      </c>
      <c r="N21" s="497">
        <f t="shared" ca="1" si="12"/>
        <v>2104447.21</v>
      </c>
      <c r="O21" s="497">
        <f t="shared" ca="1" si="9"/>
        <v>60.518670816184269</v>
      </c>
      <c r="P21" s="497">
        <f t="shared" ca="1" si="10"/>
        <v>71.076139332316728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3477352</v>
      </c>
      <c r="M23" s="93">
        <f t="shared" ca="1" si="13"/>
        <v>2960835</v>
      </c>
      <c r="N23" s="93">
        <f t="shared" ca="1" si="13"/>
        <v>2104447.21</v>
      </c>
      <c r="O23" s="93">
        <f t="shared" ca="1" si="9"/>
        <v>60.518670816184269</v>
      </c>
      <c r="P23" s="93">
        <f t="shared" ca="1" si="10"/>
        <v>71.076139332316728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2260200</v>
      </c>
      <c r="M24" s="497">
        <f t="shared" ca="1" si="14"/>
        <v>2260200</v>
      </c>
      <c r="N24" s="497">
        <f t="shared" ca="1" si="14"/>
        <v>2257200</v>
      </c>
      <c r="O24" s="497">
        <f t="shared" ca="1" si="9"/>
        <v>99.867268383328906</v>
      </c>
      <c r="P24" s="497">
        <f t="shared" ca="1" si="10"/>
        <v>99.867268383328906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2260200</v>
      </c>
      <c r="M26" s="52">
        <f t="shared" ca="1" si="15"/>
        <v>2260200</v>
      </c>
      <c r="N26" s="52">
        <f t="shared" ca="1" si="15"/>
        <v>2257200</v>
      </c>
      <c r="O26" s="52">
        <f t="shared" ca="1" si="9"/>
        <v>99.867268383328906</v>
      </c>
      <c r="P26" s="52">
        <f t="shared" ca="1" si="10"/>
        <v>99.867268383328906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2803355</v>
      </c>
      <c r="M28" s="22">
        <f t="shared" ca="1" si="16"/>
        <v>2803355</v>
      </c>
      <c r="N28" s="22">
        <f t="shared" si="16"/>
        <v>732975</v>
      </c>
      <c r="O28" s="22">
        <f t="shared" ref="O28:O37" ca="1" si="17">IF(L28&gt;0,N28*100/L28,0)</f>
        <v>26.146349641768523</v>
      </c>
      <c r="P28" s="22">
        <f t="shared" ref="P28:P37" ca="1" si="18">IF(M28&gt;0,N28*100/M28,0)</f>
        <v>26.146349641768523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2803355</v>
      </c>
      <c r="M30" s="30">
        <f t="shared" ca="1" si="19"/>
        <v>2803355</v>
      </c>
      <c r="N30" s="30">
        <f t="shared" si="19"/>
        <v>732975</v>
      </c>
      <c r="O30" s="30">
        <f t="shared" ca="1" si="17"/>
        <v>26.146349641768523</v>
      </c>
      <c r="P30" s="30">
        <f t="shared" ca="1" si="18"/>
        <v>26.146349641768523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2803355</v>
      </c>
      <c r="M31" s="497">
        <f t="shared" ca="1" si="20"/>
        <v>2803355</v>
      </c>
      <c r="N31" s="497">
        <f t="shared" si="20"/>
        <v>732975</v>
      </c>
      <c r="O31" s="497">
        <f t="shared" ca="1" si="17"/>
        <v>26.146349641768523</v>
      </c>
      <c r="P31" s="497">
        <f t="shared" ca="1" si="18"/>
        <v>26.146349641768523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2803355</v>
      </c>
      <c r="M33" s="93">
        <f t="shared" ca="1" si="21"/>
        <v>2803355</v>
      </c>
      <c r="N33" s="93">
        <f t="shared" si="21"/>
        <v>732975</v>
      </c>
      <c r="O33" s="93">
        <f t="shared" ca="1" si="17"/>
        <v>26.146349641768523</v>
      </c>
      <c r="P33" s="93">
        <f t="shared" ca="1" si="18"/>
        <v>26.146349641768523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5737552</v>
      </c>
      <c r="M37" s="870">
        <f t="shared" ca="1" si="24"/>
        <v>5221035</v>
      </c>
      <c r="N37" s="870">
        <f t="shared" ca="1" si="24"/>
        <v>4361647.21</v>
      </c>
      <c r="O37" s="870">
        <f t="shared" ca="1" si="17"/>
        <v>76.019305968817363</v>
      </c>
      <c r="P37" s="870">
        <f t="shared" ca="1" si="18"/>
        <v>83.539896016785946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698242</v>
      </c>
      <c r="M41" s="85">
        <f t="shared" ca="1" si="25"/>
        <v>704691</v>
      </c>
      <c r="N41" s="85">
        <f t="shared" ca="1" si="25"/>
        <v>427015</v>
      </c>
      <c r="O41" s="85">
        <f t="shared" ref="O41:O49" ca="1" si="26">IF(L41&gt;0,N41*100/L41,0)</f>
        <v>61.155731107552967</v>
      </c>
      <c r="P41" s="85">
        <f t="shared" ref="P41:P49" ca="1" si="27">IF(M41&gt;0,N41*100/M41,0)</f>
        <v>60.596062671440393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698242</v>
      </c>
      <c r="M43" s="92">
        <f t="shared" ca="1" si="28"/>
        <v>704691</v>
      </c>
      <c r="N43" s="92">
        <f t="shared" ca="1" si="28"/>
        <v>427015</v>
      </c>
      <c r="O43" s="92">
        <f t="shared" ca="1" si="26"/>
        <v>61.155731107552967</v>
      </c>
      <c r="P43" s="92">
        <f t="shared" ca="1" si="27"/>
        <v>60.596062671440393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698242</v>
      </c>
      <c r="M44" s="497">
        <f t="shared" ca="1" si="29"/>
        <v>704691</v>
      </c>
      <c r="N44" s="497">
        <f t="shared" ca="1" si="29"/>
        <v>427015</v>
      </c>
      <c r="O44" s="497">
        <f t="shared" ca="1" si="26"/>
        <v>61.155731107552967</v>
      </c>
      <c r="P44" s="497">
        <f t="shared" ca="1" si="27"/>
        <v>60.596062671440393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IFERROR(__xludf.DUMMYFUNCTION("IMPORTRANGE(""https://docs.google.com/spreadsheets/d/1MeEWN-I1oV_STSDYn1IFDPWt_1FKiwhDph83XaGc0o0/edit?usp=sharing"",""งบพรบ!M37"")"),698242)</f>
        <v>698242</v>
      </c>
      <c r="M46" s="93">
        <f ca="1">IFERROR(__xludf.DUMMYFUNCTION("IMPORTRANGE(""https://docs.google.com/spreadsheets/d/1MeEWN-I1oV_STSDYn1IFDPWt_1FKiwhDph83XaGc0o0/edit?usp=sharing"",""งบพรบ!R37"")"),704691)</f>
        <v>704691</v>
      </c>
      <c r="N46" s="93">
        <f ca="1">IFERROR(__xludf.DUMMYFUNCTION("IMPORTRANGE(""https://docs.google.com/spreadsheets/d/1MeEWN-I1oV_STSDYn1IFDPWt_1FKiwhDph83XaGc0o0/edit?usp=sharing"",""งบพรบ!T37"")"),427015)</f>
        <v>427015</v>
      </c>
      <c r="O46" s="93">
        <f t="shared" ca="1" si="26"/>
        <v>61.155731107552967</v>
      </c>
      <c r="P46" s="93">
        <f t="shared" ca="1" si="27"/>
        <v>60.596062671440393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IFERROR(__xludf.DUMMYFUNCTION("IMPORTRANGE(""https://docs.google.com/spreadsheets/d/1MeEWN-I1oV_STSDYn1IFDPWt_1FKiwhDph83XaGc0o0/edit?usp=sharing"",""งบพรบ!P37"")"),0)</f>
        <v>0</v>
      </c>
      <c r="M49" s="52">
        <f ca="1">IFERROR(__xludf.DUMMYFUNCTION("IMPORTRANGE(""https://docs.google.com/spreadsheets/d/1MeEWN-I1oV_STSDYn1IFDPWt_1FKiwhDph83XaGc0o0/edit?usp=sharing"",""งบพรบ!S37"")"),0)</f>
        <v>0</v>
      </c>
      <c r="N49" s="52">
        <f ca="1">IFERROR(__xludf.DUMMYFUNCTION("IMPORTRANGE(""https://docs.google.com/spreadsheets/d/1MeEWN-I1oV_STSDYn1IFDPWt_1FKiwhDph83XaGc0o0/edit?usp=sharing"",""งบพรบ!U37"")"),0)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2736800</v>
      </c>
      <c r="M53" s="116">
        <f t="shared" ca="1" si="31"/>
        <v>2587550</v>
      </c>
      <c r="N53" s="116">
        <f t="shared" ca="1" si="31"/>
        <v>2537072.63</v>
      </c>
      <c r="O53" s="116">
        <f t="shared" ref="O53:O61" ca="1" si="32">IF(L53&gt;0,N53*100/L53,0)</f>
        <v>92.702156898567665</v>
      </c>
      <c r="P53" s="116">
        <f t="shared" ref="P53:P61" ca="1" si="33">IF(M53&gt;0,N53*100/M53,0)</f>
        <v>98.04922146431953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2736800</v>
      </c>
      <c r="M55" s="123">
        <f t="shared" ca="1" si="34"/>
        <v>2587550</v>
      </c>
      <c r="N55" s="123">
        <f t="shared" ca="1" si="34"/>
        <v>2537072.63</v>
      </c>
      <c r="O55" s="123">
        <f t="shared" ca="1" si="32"/>
        <v>92.702156898567665</v>
      </c>
      <c r="P55" s="123">
        <f t="shared" ca="1" si="33"/>
        <v>98.04922146431953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612200</v>
      </c>
      <c r="M56" s="497">
        <f t="shared" ca="1" si="35"/>
        <v>462950</v>
      </c>
      <c r="N56" s="497">
        <f t="shared" ca="1" si="35"/>
        <v>415472.63</v>
      </c>
      <c r="O56" s="497">
        <f t="shared" ca="1" si="32"/>
        <v>67.865506370467173</v>
      </c>
      <c r="P56" s="497">
        <f t="shared" ca="1" si="33"/>
        <v>89.744600928826003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IFERROR(__xludf.DUMMYFUNCTION("IMPORTRANGE(""https://docs.google.com/spreadsheets/d/1MeEWN-I1oV_STSDYn1IFDPWt_1FKiwhDph83XaGc0o0/edit?usp=sharing"",""งบพรบ!W37"")"),612200)</f>
        <v>612200</v>
      </c>
      <c r="M58" s="93">
        <f ca="1">IFERROR(__xludf.DUMMYFUNCTION("IMPORTRANGE(""https://docs.google.com/spreadsheets/d/1MeEWN-I1oV_STSDYn1IFDPWt_1FKiwhDph83XaGc0o0/edit?usp=sharing"",""งบพรบ!AB37"")"),462950)</f>
        <v>462950</v>
      </c>
      <c r="N58" s="93">
        <f ca="1">IFERROR(__xludf.DUMMYFUNCTION("IMPORTRANGE(""https://docs.google.com/spreadsheets/d/1MeEWN-I1oV_STSDYn1IFDPWt_1FKiwhDph83XaGc0o0/edit?usp=sharing"",""งบพรบ!AD37"")"),415472.63)</f>
        <v>415472.63</v>
      </c>
      <c r="O58" s="93">
        <f t="shared" ca="1" si="32"/>
        <v>67.865506370467173</v>
      </c>
      <c r="P58" s="93">
        <f t="shared" ca="1" si="33"/>
        <v>89.744600928826003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2124600</v>
      </c>
      <c r="M59" s="497">
        <f t="shared" ca="1" si="36"/>
        <v>2124600</v>
      </c>
      <c r="N59" s="497">
        <f t="shared" ca="1" si="36"/>
        <v>2121600</v>
      </c>
      <c r="O59" s="497">
        <f t="shared" ca="1" si="32"/>
        <v>99.858796950014124</v>
      </c>
      <c r="P59" s="497">
        <f t="shared" ca="1" si="33"/>
        <v>99.858796950014124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IFERROR(__xludf.DUMMYFUNCTION("IMPORTRANGE(""https://docs.google.com/spreadsheets/d/1MeEWN-I1oV_STSDYn1IFDPWt_1FKiwhDph83XaGc0o0/edit?usp=sharing"",""งบพรบ!Z37"")"),2124600)</f>
        <v>2124600</v>
      </c>
      <c r="M61" s="52">
        <f ca="1">IFERROR(__xludf.DUMMYFUNCTION("IMPORTRANGE(""https://docs.google.com/spreadsheets/d/1MeEWN-I1oV_STSDYn1IFDPWt_1FKiwhDph83XaGc0o0/edit?usp=sharing"",""งบพรบ!AC37"")"),2124600)</f>
        <v>2124600</v>
      </c>
      <c r="N61" s="52">
        <f ca="1">IFERROR(__xludf.DUMMYFUNCTION("IMPORTRANGE(""https://docs.google.com/spreadsheets/d/1MeEWN-I1oV_STSDYn1IFDPWt_1FKiwhDph83XaGc0o0/edit?usp=sharing"",""งบพรบ!AE37"")"),2121600)</f>
        <v>2121600</v>
      </c>
      <c r="O61" s="52">
        <f t="shared" ca="1" si="32"/>
        <v>99.858796950014124</v>
      </c>
      <c r="P61" s="52">
        <f t="shared" ca="1" si="33"/>
        <v>99.858796950014124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IFERROR(__xludf.DUMMYFUNCTION("IMPORTRANGE(""https://docs.google.com/spreadsheets/d/1MeEWN-I1oV_STSDYn1IFDPWt_1FKiwhDph83XaGc0o0/edit?usp=sharing"",""งบพรบ!AG37"")"),0)</f>
        <v>0</v>
      </c>
      <c r="M71" s="93">
        <f ca="1">IFERROR(__xludf.DUMMYFUNCTION("IMPORTRANGE(""https://docs.google.com/spreadsheets/d/1MeEWN-I1oV_STSDYn1IFDPWt_1FKiwhDph83XaGc0o0/edit?usp=sharing"",""งบพรบ!AL37"")"),0)</f>
        <v>0</v>
      </c>
      <c r="N71" s="93">
        <f ca="1">IFERROR(__xludf.DUMMYFUNCTION("IMPORTRANGE(""https://docs.google.com/spreadsheets/d/1MeEWN-I1oV_STSDYn1IFDPWt_1FKiwhDph83XaGc0o0/edit?usp=sharing"",""งบพรบ!AN37"")"),0)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IFERROR(__xludf.DUMMYFUNCTION("IMPORTRANGE(""https://docs.google.com/spreadsheets/d/1MeEWN-I1oV_STSDYn1IFDPWt_1FKiwhDph83XaGc0o0/edit?usp=sharing"",""งบพรบ!AJ37"")"),0)</f>
        <v>0</v>
      </c>
      <c r="M74" s="93">
        <f ca="1">IFERROR(__xludf.DUMMYFUNCTION("IMPORTRANGE(""https://docs.google.com/spreadsheets/d/1MeEWN-I1oV_STSDYn1IFDPWt_1FKiwhDph83XaGc0o0/edit?usp=sharing"",""งบพรบ!AM37"")"),0)</f>
        <v>0</v>
      </c>
      <c r="N74" s="93">
        <f ca="1">IFERROR(__xludf.DUMMYFUNCTION("IMPORTRANGE(""https://docs.google.com/spreadsheets/d/1MeEWN-I1oV_STSDYn1IFDPWt_1FKiwhDph83XaGc0o0/edit?usp=sharing"",""งบพรบ!AO37"")"),0)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115640</v>
      </c>
      <c r="M88" s="155">
        <f t="shared" ca="1" si="49"/>
        <v>107090</v>
      </c>
      <c r="N88" s="155">
        <f t="shared" ca="1" si="49"/>
        <v>27935</v>
      </c>
      <c r="O88" s="155">
        <f t="shared" ref="O88:O96" ca="1" si="50">IF(L88&gt;0,N88*100/L88,0)</f>
        <v>24.156866136285021</v>
      </c>
      <c r="P88" s="155">
        <f t="shared" ref="P88:P96" ca="1" si="51">IF(M88&gt;0,N88*100/M88,0)</f>
        <v>26.085535530861893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115640</v>
      </c>
      <c r="M90" s="93">
        <f t="shared" ca="1" si="52"/>
        <v>107090</v>
      </c>
      <c r="N90" s="93">
        <f t="shared" ca="1" si="52"/>
        <v>27935</v>
      </c>
      <c r="O90" s="93">
        <f t="shared" ca="1" si="50"/>
        <v>24.156866136285021</v>
      </c>
      <c r="P90" s="93">
        <f t="shared" ca="1" si="51"/>
        <v>26.085535530861893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115640</v>
      </c>
      <c r="M91" s="497">
        <f t="shared" ca="1" si="53"/>
        <v>107090</v>
      </c>
      <c r="N91" s="497">
        <f t="shared" ca="1" si="53"/>
        <v>27935</v>
      </c>
      <c r="O91" s="497">
        <f t="shared" ca="1" si="50"/>
        <v>24.156866136285021</v>
      </c>
      <c r="P91" s="497">
        <f t="shared" ca="1" si="51"/>
        <v>26.085535530861893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IFERROR(__xludf.DUMMYFUNCTION("IMPORTRANGE(""https://docs.google.com/spreadsheets/d/1MeEWN-I1oV_STSDYn1IFDPWt_1FKiwhDph83XaGc0o0/edit?usp=sharing"",""งบพรบ!AQ37"")"),115640)</f>
        <v>115640</v>
      </c>
      <c r="M93" s="93">
        <f ca="1">IFERROR(__xludf.DUMMYFUNCTION("IMPORTRANGE(""https://docs.google.com/spreadsheets/d/1MeEWN-I1oV_STSDYn1IFDPWt_1FKiwhDph83XaGc0o0/edit?usp=sharing"",""งบพรบ!AV37"")"),107090)</f>
        <v>107090</v>
      </c>
      <c r="N93" s="93">
        <f ca="1">IFERROR(__xludf.DUMMYFUNCTION("IMPORTRANGE(""https://docs.google.com/spreadsheets/d/1MeEWN-I1oV_STSDYn1IFDPWt_1FKiwhDph83XaGc0o0/edit?usp=sharing"",""งบพรบ!AX37"")"),27935)</f>
        <v>27935</v>
      </c>
      <c r="O93" s="93">
        <f t="shared" ca="1" si="50"/>
        <v>24.156866136285021</v>
      </c>
      <c r="P93" s="93">
        <f t="shared" ca="1" si="51"/>
        <v>26.085535530861893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IFERROR(__xludf.DUMMYFUNCTION("IMPORTRANGE(""https://docs.google.com/spreadsheets/d/1MeEWN-I1oV_STSDYn1IFDPWt_1FKiwhDph83XaGc0o0/edit?usp=sharing"",""งบพรบ!AT37"")"),0)</f>
        <v>0</v>
      </c>
      <c r="M96" s="93">
        <f ca="1">IFERROR(__xludf.DUMMYFUNCTION("IMPORTRANGE(""https://docs.google.com/spreadsheets/d/1MeEWN-I1oV_STSDYn1IFDPWt_1FKiwhDph83XaGc0o0/edit?usp=sharing"",""งบพรบ!AW37"")"),0)</f>
        <v>0</v>
      </c>
      <c r="N96" s="93">
        <f ca="1">IFERROR(__xludf.DUMMYFUNCTION("IMPORTRANGE(""https://docs.google.com/spreadsheets/d/1MeEWN-I1oV_STSDYn1IFDPWt_1FKiwhDph83XaGc0o0/edit?usp=sharing"",""งบพรบ!AY37"")"),0)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IFERROR(__xludf.DUMMYFUNCTION("IMPORTRANGE(""https://docs.google.com/spreadsheets/d/1QqKyyYR6Q21VydFLVH3TRQUabQu_ym0Zz7PgGX0-kHA/edit?usp=sharing"",""แผน!K37"")"),30)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IFERROR(__xludf.DUMMYFUNCTION("IMPORTRANGE(""https://docs.google.com/spreadsheets/d/1QqKyyYR6Q21VydFLVH3TRQUabQu_ym0Zz7PgGX0-kHA/edit?usp=sharing"",""แผน!L37"")"),10)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IFERROR(__xludf.DUMMYFUNCTION("IMPORTRANGE(""https://docs.google.com/spreadsheets/d/1QqKyyYR6Q21VydFLVH3TRQUabQu_ym0Zz7PgGX0-kHA/edit?usp=sharing"",""แผน!N37"")"),30)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IFERROR(__xludf.DUMMYFUNCTION("IMPORTRANGE(""https://docs.google.com/spreadsheets/d/1QqKyyYR6Q21VydFLVH3TRQUabQu_ym0Zz7PgGX0-kHA/edit?usp=sharing"",""แผน!O37"")"),10)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IFERROR(__xludf.DUMMYFUNCTION("IMPORTRANGE(""https://docs.google.com/spreadsheets/d/1QqKyyYR6Q21VydFLVH3TRQUabQu_ym0Zz7PgGX0-kHA/edit?usp=sharing"",""แผน!O37"")"),10)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IFERROR(__xludf.DUMMYFUNCTION("IMPORTRANGE(""https://docs.google.com/spreadsheets/d/1QqKyyYR6Q21VydFLVH3TRQUabQu_ym0Zz7PgGX0-kHA/edit?usp=sharing"",""แผน!R37"")"),10)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IFERROR(__xludf.DUMMYFUNCTION("IMPORTRANGE(""https://docs.google.com/spreadsheets/d/1QqKyyYR6Q21VydFLVH3TRQUabQu_ym0Zz7PgGX0-kHA/edit?usp=sharing"",""แผน!R37"")"),10)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IFERROR(__xludf.DUMMYFUNCTION("IMPORTRANGE(""https://docs.google.com/spreadsheets/d/1QqKyyYR6Q21VydFLVH3TRQUabQu_ym0Zz7PgGX0-kHA/edit?usp=sharing"",""แผน!R37"")"),10)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IFERROR(__xludf.DUMMYFUNCTION("IMPORTRANGE(""https://docs.google.com/spreadsheets/d/1MeEWN-I1oV_STSDYn1IFDPWt_1FKiwhDph83XaGc0o0/edit?usp=sharing"",""งบพรบ!BA37"")"),0)</f>
        <v>0</v>
      </c>
      <c r="M124" s="93">
        <f ca="1">IFERROR(__xludf.DUMMYFUNCTION("IMPORTRANGE(""https://docs.google.com/spreadsheets/d/1MeEWN-I1oV_STSDYn1IFDPWt_1FKiwhDph83XaGc0o0/edit?usp=sharing"",""งบพรบ!BF37"")"),0)</f>
        <v>0</v>
      </c>
      <c r="N124" s="93">
        <f ca="1">IFERROR(__xludf.DUMMYFUNCTION("IMPORTRANGE(""https://docs.google.com/spreadsheets/d/1MeEWN-I1oV_STSDYn1IFDPWt_1FKiwhDph83XaGc0o0/edit?usp=sharing"",""งบพรบ!BH37"")"),0)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IFERROR(__xludf.DUMMYFUNCTION("IMPORTRANGE(""https://docs.google.com/spreadsheets/d/1MeEWN-I1oV_STSDYn1IFDPWt_1FKiwhDph83XaGc0o0/edit?usp=sharing"",""งบพรบ!BD37"")"),0)</f>
        <v>0</v>
      </c>
      <c r="M127" s="93">
        <f ca="1">IFERROR(__xludf.DUMMYFUNCTION("IMPORTRANGE(""https://docs.google.com/spreadsheets/d/1MeEWN-I1oV_STSDYn1IFDPWt_1FKiwhDph83XaGc0o0/edit?usp=sharing"",""งบพรบ!BG37"")"),0)</f>
        <v>0</v>
      </c>
      <c r="N127" s="93">
        <f ca="1">IFERROR(__xludf.DUMMYFUNCTION("IMPORTRANGE(""https://docs.google.com/spreadsheets/d/1MeEWN-I1oV_STSDYn1IFDPWt_1FKiwhDph83XaGc0o0/edit?usp=sharing"",""งบพรบ!BI37"")"),0)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IFERROR(__xludf.DUMMYFUNCTION("IMPORTRANGE(""https://docs.google.com/spreadsheets/d/1MeEWN-I1oV_STSDYn1IFDPWt_1FKiwhDph83XaGc0o0/edit?usp=sharing"",""งบพรบ!BK37"")"),0)</f>
        <v>0</v>
      </c>
      <c r="M137" s="93">
        <f ca="1">IFERROR(__xludf.DUMMYFUNCTION("IMPORTRANGE(""https://docs.google.com/spreadsheets/d/1MeEWN-I1oV_STSDYn1IFDPWt_1FKiwhDph83XaGc0o0/edit?usp=sharing"",""งบพรบ!BP37"")"),0)</f>
        <v>0</v>
      </c>
      <c r="N137" s="93">
        <f ca="1">IFERROR(__xludf.DUMMYFUNCTION("IMPORTRANGE(""https://docs.google.com/spreadsheets/d/1MeEWN-I1oV_STSDYn1IFDPWt_1FKiwhDph83XaGc0o0/edit?usp=sharing"",""งบพรบ!BR37"")"),0)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IFERROR(__xludf.DUMMYFUNCTION("IMPORTRANGE(""https://docs.google.com/spreadsheets/d/1MeEWN-I1oV_STSDYn1IFDPWt_1FKiwhDph83XaGc0o0/edit?usp=sharing"",""งบพรบ!BN37"")"),0)</f>
        <v>0</v>
      </c>
      <c r="M140" s="93">
        <f ca="1">IFERROR(__xludf.DUMMYFUNCTION("IMPORTRANGE(""https://docs.google.com/spreadsheets/d/1MeEWN-I1oV_STSDYn1IFDPWt_1FKiwhDph83XaGc0o0/edit?usp=sharing"",""งบพรบ!BQ37"")"),0)</f>
        <v>0</v>
      </c>
      <c r="N140" s="93">
        <f ca="1">IFERROR(__xludf.DUMMYFUNCTION("IMPORTRANGE(""https://docs.google.com/spreadsheets/d/1MeEWN-I1oV_STSDYn1IFDPWt_1FKiwhDph83XaGc0o0/edit?usp=sharing"",""งบพรบ!BS37"")"),0)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19</v>
      </c>
      <c r="K148" s="145">
        <f ca="1">IF(I148&gt;0,J148*100/I148,0)</f>
        <v>95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6495</v>
      </c>
      <c r="O149" s="155">
        <f t="shared" ref="O149:O157" ca="1" si="78">IF(L149&gt;0,N149*100/L149,0)</f>
        <v>64.95</v>
      </c>
      <c r="P149" s="155">
        <f t="shared" ref="P149:P157" ca="1" si="79">IF(M149&gt;0,N149*100/M149,0)</f>
        <v>64.95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6495</v>
      </c>
      <c r="O151" s="93">
        <f t="shared" ca="1" si="78"/>
        <v>64.95</v>
      </c>
      <c r="P151" s="93">
        <f t="shared" ca="1" si="79"/>
        <v>64.95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6495</v>
      </c>
      <c r="O152" s="497">
        <f t="shared" ca="1" si="78"/>
        <v>64.95</v>
      </c>
      <c r="P152" s="497">
        <f t="shared" ca="1" si="79"/>
        <v>64.95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IFERROR(__xludf.DUMMYFUNCTION("IMPORTRANGE(""https://docs.google.com/spreadsheets/d/1MeEWN-I1oV_STSDYn1IFDPWt_1FKiwhDph83XaGc0o0/edit?usp=sharing"",""งบพรบ!BU37"")"),10000)</f>
        <v>10000</v>
      </c>
      <c r="M154" s="93">
        <f ca="1">IFERROR(__xludf.DUMMYFUNCTION("IMPORTRANGE(""https://docs.google.com/spreadsheets/d/1MeEWN-I1oV_STSDYn1IFDPWt_1FKiwhDph83XaGc0o0/edit?usp=sharing"",""งบพรบ!BZ37"")"),10000)</f>
        <v>10000</v>
      </c>
      <c r="N154" s="93">
        <f ca="1">IFERROR(__xludf.DUMMYFUNCTION("IMPORTRANGE(""https://docs.google.com/spreadsheets/d/1MeEWN-I1oV_STSDYn1IFDPWt_1FKiwhDph83XaGc0o0/edit?usp=sharing"",""งบพรบ!CB37"")"),6495)</f>
        <v>6495</v>
      </c>
      <c r="O154" s="93">
        <f t="shared" ca="1" si="78"/>
        <v>64.95</v>
      </c>
      <c r="P154" s="93">
        <f t="shared" ca="1" si="79"/>
        <v>64.95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IFERROR(__xludf.DUMMYFUNCTION("IMPORTRANGE(""https://docs.google.com/spreadsheets/d/1MeEWN-I1oV_STSDYn1IFDPWt_1FKiwhDph83XaGc0o0/edit?usp=sharing"",""งบพรบ!BX37"")"),0)</f>
        <v>0</v>
      </c>
      <c r="M157" s="93">
        <f ca="1">IFERROR(__xludf.DUMMYFUNCTION("IMPORTRANGE(""https://docs.google.com/spreadsheets/d/1MeEWN-I1oV_STSDYn1IFDPWt_1FKiwhDph83XaGc0o0/edit?usp=sharing"",""งบพรบ!CA37"")"),0)</f>
        <v>0</v>
      </c>
      <c r="N157" s="93">
        <f ca="1">IFERROR(__xludf.DUMMYFUNCTION("IMPORTRANGE(""https://docs.google.com/spreadsheets/d/1MeEWN-I1oV_STSDYn1IFDPWt_1FKiwhDph83XaGc0o0/edit?usp=sharing"",""งบพรบ!CC37"")"),0)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IFERROR(__xludf.DUMMYFUNCTION("IMPORTRANGE(""https://docs.google.com/spreadsheets/d/1QqKyyYR6Q21VydFLVH3TRQUabQu_ym0Zz7PgGX0-kHA/edit?usp=sharing"",""แผน!X37"")"),20)</f>
        <v>20</v>
      </c>
      <c r="J159" s="215">
        <v>19</v>
      </c>
      <c r="K159" s="497">
        <f ca="1">IF(I159&gt;0,J159*100/I159,0)</f>
        <v>95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39810</v>
      </c>
      <c r="N165" s="155">
        <f t="shared" ca="1" si="84"/>
        <v>39810</v>
      </c>
      <c r="O165" s="155">
        <f t="shared" ref="O165:O173" ca="1" si="85">IF(L165&gt;0,N165*100/L165,0)</f>
        <v>172.63660017346055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39810</v>
      </c>
      <c r="N167" s="93">
        <f t="shared" ca="1" si="87"/>
        <v>39810</v>
      </c>
      <c r="O167" s="93">
        <f t="shared" ca="1" si="85"/>
        <v>172.63660017346055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39810</v>
      </c>
      <c r="N168" s="497">
        <f t="shared" ca="1" si="88"/>
        <v>39810</v>
      </c>
      <c r="O168" s="497">
        <f t="shared" ca="1" si="85"/>
        <v>172.63660017346055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IFERROR(__xludf.DUMMYFUNCTION("IMPORTRANGE(""https://docs.google.com/spreadsheets/d/1MeEWN-I1oV_STSDYn1IFDPWt_1FKiwhDph83XaGc0o0/edit?usp=sharing"",""งบพรบ!CE37"")"),23060)</f>
        <v>23060</v>
      </c>
      <c r="M170" s="93">
        <f ca="1">IFERROR(__xludf.DUMMYFUNCTION("IMPORTRANGE(""https://docs.google.com/spreadsheets/d/1MeEWN-I1oV_STSDYn1IFDPWt_1FKiwhDph83XaGc0o0/edit?usp=sharing"",""งบพรบ!CJ37"")"),39810)</f>
        <v>39810</v>
      </c>
      <c r="N170" s="93">
        <f ca="1">IFERROR(__xludf.DUMMYFUNCTION("IMPORTRANGE(""https://docs.google.com/spreadsheets/d/1MeEWN-I1oV_STSDYn1IFDPWt_1FKiwhDph83XaGc0o0/edit?usp=sharing"",""งบพรบ!CL37"")"),39810)</f>
        <v>39810</v>
      </c>
      <c r="O170" s="93">
        <f t="shared" ca="1" si="85"/>
        <v>172.63660017346055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IFERROR(__xludf.DUMMYFUNCTION("IMPORTRANGE(""https://docs.google.com/spreadsheets/d/1MeEWN-I1oV_STSDYn1IFDPWt_1FKiwhDph83XaGc0o0/edit?usp=sharing"",""งบพรบ!CH37"")"),0)</f>
        <v>0</v>
      </c>
      <c r="M173" s="93">
        <f ca="1">IFERROR(__xludf.DUMMYFUNCTION("IMPORTRANGE(""https://docs.google.com/spreadsheets/d/1MeEWN-I1oV_STSDYn1IFDPWt_1FKiwhDph83XaGc0o0/edit?usp=sharing"",""งบพรบ!CK37"")"),0)</f>
        <v>0</v>
      </c>
      <c r="N173" s="93">
        <f ca="1">IFERROR(__xludf.DUMMYFUNCTION("IMPORTRANGE(""https://docs.google.com/spreadsheets/d/1MeEWN-I1oV_STSDYn1IFDPWt_1FKiwhDph83XaGc0o0/edit?usp=sharing"",""งบพรบ!CM37"")"),0)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134000</v>
      </c>
      <c r="M181" s="155">
        <f t="shared" ca="1" si="92"/>
        <v>244100</v>
      </c>
      <c r="N181" s="155">
        <f t="shared" ca="1" si="92"/>
        <v>194924</v>
      </c>
      <c r="O181" s="155">
        <f t="shared" ref="O181:O189" ca="1" si="93">IF(L181&gt;0,N181*100/L181,0)</f>
        <v>145.46567164179103</v>
      </c>
      <c r="P181" s="155">
        <f t="shared" ref="P181:P189" ca="1" si="94">IF(M181&gt;0,N181*100/M181,0)</f>
        <v>79.854158131913152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134000</v>
      </c>
      <c r="M183" s="93">
        <f t="shared" ca="1" si="95"/>
        <v>244100</v>
      </c>
      <c r="N183" s="93">
        <f t="shared" ca="1" si="95"/>
        <v>194924</v>
      </c>
      <c r="O183" s="93">
        <f t="shared" ca="1" si="93"/>
        <v>145.46567164179103</v>
      </c>
      <c r="P183" s="93">
        <f t="shared" ca="1" si="94"/>
        <v>79.854158131913152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134000</v>
      </c>
      <c r="M184" s="497">
        <f t="shared" ca="1" si="96"/>
        <v>244100</v>
      </c>
      <c r="N184" s="497">
        <f t="shared" ca="1" si="96"/>
        <v>194924</v>
      </c>
      <c r="O184" s="497">
        <f t="shared" ca="1" si="93"/>
        <v>145.46567164179103</v>
      </c>
      <c r="P184" s="497">
        <f t="shared" ca="1" si="94"/>
        <v>79.854158131913152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IFERROR(__xludf.DUMMYFUNCTION("IMPORTRANGE(""https://docs.google.com/spreadsheets/d/1MeEWN-I1oV_STSDYn1IFDPWt_1FKiwhDph83XaGc0o0/edit?usp=sharing"",""งบพรบ!CO37"")"),134000)</f>
        <v>134000</v>
      </c>
      <c r="M186" s="93">
        <f ca="1">IFERROR(__xludf.DUMMYFUNCTION("IMPORTRANGE(""https://docs.google.com/spreadsheets/d/1MeEWN-I1oV_STSDYn1IFDPWt_1FKiwhDph83XaGc0o0/edit?usp=sharing"",""งบพรบ!CT37"")"),244100)</f>
        <v>244100</v>
      </c>
      <c r="N186" s="93">
        <f ca="1">IFERROR(__xludf.DUMMYFUNCTION("IMPORTRANGE(""https://docs.google.com/spreadsheets/d/1MeEWN-I1oV_STSDYn1IFDPWt_1FKiwhDph83XaGc0o0/edit?usp=sharing"",""งบพรบ!CV37"")"),194924)</f>
        <v>194924</v>
      </c>
      <c r="O186" s="93">
        <f t="shared" ca="1" si="93"/>
        <v>145.46567164179103</v>
      </c>
      <c r="P186" s="93">
        <f t="shared" ca="1" si="94"/>
        <v>79.854158131913152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IFERROR(__xludf.DUMMYFUNCTION("IMPORTRANGE(""https://docs.google.com/spreadsheets/d/1MeEWN-I1oV_STSDYn1IFDPWt_1FKiwhDph83XaGc0o0/edit?usp=sharing"",""งบพรบ!CR37"")"),0)</f>
        <v>0</v>
      </c>
      <c r="M189" s="93">
        <f ca="1">IFERROR(__xludf.DUMMYFUNCTION("IMPORTRANGE(""https://docs.google.com/spreadsheets/d/1MeEWN-I1oV_STSDYn1IFDPWt_1FKiwhDph83XaGc0o0/edit?usp=sharing"",""งบพรบ!CU37"")"),0)</f>
        <v>0</v>
      </c>
      <c r="N189" s="93">
        <f ca="1">IFERROR(__xludf.DUMMYFUNCTION("IMPORTRANGE(""https://docs.google.com/spreadsheets/d/1MeEWN-I1oV_STSDYn1IFDPWt_1FKiwhDph83XaGc0o0/edit?usp=sharing"",""งบพรบ!CW37"")"),0)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IFERROR(__xludf.DUMMYFUNCTION("IMPORTRANGE(""https://docs.google.com/spreadsheets/d/1QqKyyYR6Q21VydFLVH3TRQUabQu_ym0Zz7PgGX0-kHA/edit?usp=sharing"",""แผน!AC37"")"),4)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36000</v>
      </c>
      <c r="M198" s="155"/>
      <c r="N198" s="155">
        <f>N199+N200+N201+N202</f>
        <v>18000</v>
      </c>
      <c r="O198" s="155">
        <f ca="1">IF(L198&gt;0,N198*100/L198,0)</f>
        <v>50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IFERROR(__xludf.DUMMYFUNCTION("IMPORTRANGE(""https://docs.google.com/spreadsheets/d/1QqKyyYR6Q21VydFLVH3TRQUabQu_ym0Zz7PgGX0-kHA/edit?usp=sharing"",""แผน!AE37"")"),2000)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IFERROR(__xludf.DUMMYFUNCTION("IMPORTRANGE(""https://docs.google.com/spreadsheets/d/1QqKyyYR6Q21VydFLVH3TRQUabQu_ym0Zz7PgGX0-kHA/edit?usp=sharing"",""แผน!AF37"")"),16000)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IFERROR(__xludf.DUMMYFUNCTION("IMPORTRANGE(""https://docs.google.com/spreadsheets/d/1QqKyyYR6Q21VydFLVH3TRQUabQu_ym0Zz7PgGX0-kHA/edit?usp=sharing"",""แผน!AG37"")"),8000)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IFERROR(__xludf.DUMMYFUNCTION("IMPORTRANGE(""https://docs.google.com/spreadsheets/d/1QqKyyYR6Q21VydFLVH3TRQUabQu_ym0Zz7PgGX0-kHA/edit?usp=sharing"",""แผน!AH37"")"),10000)</f>
        <v>10000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IFERROR(__xludf.DUMMYFUNCTION("IMPORTRANGE(""https://docs.google.com/spreadsheets/d/1QqKyyYR6Q21VydFLVH3TRQUabQu_ym0Zz7PgGX0-kHA/edit?usp=sharing"",""แผน!AI37"")"),2)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2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54000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IFERROR(__xludf.DUMMYFUNCTION("IMPORTRANGE(""https://docs.google.com/spreadsheets/d/1QqKyyYR6Q21VydFLVH3TRQUabQu_ym0Zz7PgGX0-kHA/edit?usp=sharing"",""แผน!AK37"")"),6000)</f>
        <v>6000</v>
      </c>
      <c r="M210" s="497"/>
      <c r="N210" s="838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IFERROR(__xludf.DUMMYFUNCTION("IMPORTRANGE(""https://docs.google.com/spreadsheets/d/1QqKyyYR6Q21VydFLVH3TRQUabQu_ym0Zz7PgGX0-kHA/edit?usp=sharing"",""แผน!AL37"")"),30000)</f>
        <v>30000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IFERROR(__xludf.DUMMYFUNCTION("IMPORTRANGE(""https://docs.google.com/spreadsheets/d/1QqKyyYR6Q21VydFLVH3TRQUabQu_ym0Zz7PgGX0-kHA/edit?usp=sharing"",""แผน!AM37"")"),48000)</f>
        <v>48000</v>
      </c>
      <c r="M212" s="497"/>
      <c r="N212" s="838">
        <v>48000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IFERROR(__xludf.DUMMYFUNCTION("IMPORTRANGE(""https://docs.google.com/spreadsheets/d/1QqKyyYR6Q21VydFLVH3TRQUabQu_ym0Zz7PgGX0-kHA/edit?usp=sharing"",""แผน!AN37"")"),6)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IFERROR(__xludf.DUMMYFUNCTION("IMPORTRANGE(""https://docs.google.com/spreadsheets/d/1QqKyyYR6Q21VydFLVH3TRQUabQu_ym0Zz7PgGX0-kHA/edit?usp=sharing"",""แผน!AN37"")"),6)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IFERROR(__xludf.DUMMYFUNCTION("IMPORTRANGE(""https://docs.google.com/spreadsheets/d/1QqKyyYR6Q21VydFLVH3TRQUabQu_ym0Zz7PgGX0-kHA/edit?usp=sharing"",""แผน!AP37"")"),3000)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IFERROR(__xludf.DUMMYFUNCTION("IMPORTRANGE(""https://docs.google.com/spreadsheets/d/1QqKyyYR6Q21VydFLVH3TRQUabQu_ym0Zz7PgGX0-kHA/edit?usp=sharing"",""แผน!AQ37"")"),5000)</f>
        <v>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177500</v>
      </c>
      <c r="M261" s="155">
        <f t="shared" ca="1" si="116"/>
        <v>135500</v>
      </c>
      <c r="N261" s="155">
        <f t="shared" ca="1" si="116"/>
        <v>101526</v>
      </c>
      <c r="O261" s="155">
        <f t="shared" ref="O261:O269" ca="1" si="117">IF(L261&gt;0,N261*100/L261,0)</f>
        <v>57.197746478873242</v>
      </c>
      <c r="P261" s="155">
        <f t="shared" ref="P261:P269" ca="1" si="118">IF(M261&gt;0,N261*100/M261,0)</f>
        <v>74.926937269372701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177500</v>
      </c>
      <c r="M263" s="93">
        <f t="shared" ca="1" si="119"/>
        <v>135500</v>
      </c>
      <c r="N263" s="93">
        <f t="shared" ca="1" si="119"/>
        <v>101526</v>
      </c>
      <c r="O263" s="93">
        <f t="shared" ca="1" si="117"/>
        <v>57.197746478873242</v>
      </c>
      <c r="P263" s="93">
        <f t="shared" ca="1" si="118"/>
        <v>74.926937269372701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177500</v>
      </c>
      <c r="M264" s="497">
        <f t="shared" ca="1" si="120"/>
        <v>135500</v>
      </c>
      <c r="N264" s="497">
        <f t="shared" ca="1" si="120"/>
        <v>101526</v>
      </c>
      <c r="O264" s="497">
        <f t="shared" ca="1" si="117"/>
        <v>57.197746478873242</v>
      </c>
      <c r="P264" s="497">
        <f t="shared" ca="1" si="118"/>
        <v>74.926937269372701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IFERROR(__xludf.DUMMYFUNCTION("IMPORTRANGE(""https://docs.google.com/spreadsheets/d/1MeEWN-I1oV_STSDYn1IFDPWt_1FKiwhDph83XaGc0o0/edit?usp=sharing"",""งบพรบ!CY37"")"),177500)</f>
        <v>177500</v>
      </c>
      <c r="M266" s="93">
        <f ca="1">IFERROR(__xludf.DUMMYFUNCTION("IMPORTRANGE(""https://docs.google.com/spreadsheets/d/1MeEWN-I1oV_STSDYn1IFDPWt_1FKiwhDph83XaGc0o0/edit?usp=sharing"",""งบพรบ!DD37"")"),135500)</f>
        <v>135500</v>
      </c>
      <c r="N266" s="93">
        <f ca="1">IFERROR(__xludf.DUMMYFUNCTION("IMPORTRANGE(""https://docs.google.com/spreadsheets/d/1MeEWN-I1oV_STSDYn1IFDPWt_1FKiwhDph83XaGc0o0/edit?usp=sharing"",""งบพรบ!DF37"")"),101526)</f>
        <v>101526</v>
      </c>
      <c r="O266" s="93">
        <f t="shared" ca="1" si="117"/>
        <v>57.197746478873242</v>
      </c>
      <c r="P266" s="93">
        <f t="shared" ca="1" si="118"/>
        <v>74.926937269372701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IFERROR(__xludf.DUMMYFUNCTION("IMPORTRANGE(""https://docs.google.com/spreadsheets/d/1MeEWN-I1oV_STSDYn1IFDPWt_1FKiwhDph83XaGc0o0/edit?usp=sharing"",""งบพรบ!DB37"")"),0)</f>
        <v>0</v>
      </c>
      <c r="M269" s="93">
        <f ca="1">IFERROR(__xludf.DUMMYFUNCTION("IMPORTRANGE(""https://docs.google.com/spreadsheets/d/1MeEWN-I1oV_STSDYn1IFDPWt_1FKiwhDph83XaGc0o0/edit?usp=sharing"",""งบพรบ!DE37"")"),0)</f>
        <v>0</v>
      </c>
      <c r="N269" s="93">
        <f ca="1">IFERROR(__xludf.DUMMYFUNCTION("IMPORTRANGE(""https://docs.google.com/spreadsheets/d/1MeEWN-I1oV_STSDYn1IFDPWt_1FKiwhDph83XaGc0o0/edit?usp=sharing"",""งบพรบ!DG37"")"),0)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IFERROR(__xludf.DUMMYFUNCTION("IMPORTRANGE(""https://docs.google.com/spreadsheets/d/1QqKyyYR6Q21VydFLVH3TRQUabQu_ym0Zz7PgGX0-kHA/edit?usp=sharing"",""แผน!EA37"")"),30)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198510</v>
      </c>
      <c r="M277" s="155">
        <f t="shared" ca="1" si="125"/>
        <v>140100</v>
      </c>
      <c r="N277" s="155">
        <f t="shared" ca="1" si="125"/>
        <v>109052.08</v>
      </c>
      <c r="O277" s="155">
        <f t="shared" ref="O277:O285" ca="1" si="126">IF(L277&gt;0,N277*100/L277,0)</f>
        <v>54.935308044934764</v>
      </c>
      <c r="P277" s="155">
        <f t="shared" ref="P277:P285" ca="1" si="127">IF(M277&gt;0,N277*100/M277,0)</f>
        <v>77.838743754461106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198510</v>
      </c>
      <c r="M279" s="93">
        <f t="shared" ca="1" si="128"/>
        <v>140100</v>
      </c>
      <c r="N279" s="93">
        <f t="shared" ca="1" si="128"/>
        <v>109052.08</v>
      </c>
      <c r="O279" s="93">
        <f t="shared" ca="1" si="126"/>
        <v>54.935308044934764</v>
      </c>
      <c r="P279" s="93">
        <f t="shared" ca="1" si="127"/>
        <v>77.838743754461106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198510</v>
      </c>
      <c r="M280" s="497">
        <f t="shared" ca="1" si="129"/>
        <v>140100</v>
      </c>
      <c r="N280" s="497">
        <f t="shared" ca="1" si="129"/>
        <v>109052.08</v>
      </c>
      <c r="O280" s="497">
        <f t="shared" ca="1" si="126"/>
        <v>54.935308044934764</v>
      </c>
      <c r="P280" s="497">
        <f t="shared" ca="1" si="127"/>
        <v>77.838743754461106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IFERROR(__xludf.DUMMYFUNCTION("IMPORTRANGE(""https://docs.google.com/spreadsheets/d/1MeEWN-I1oV_STSDYn1IFDPWt_1FKiwhDph83XaGc0o0/edit?usp=sharing"",""งบพรบ!DI37"")"),198510)</f>
        <v>198510</v>
      </c>
      <c r="M282" s="93">
        <f ca="1">IFERROR(__xludf.DUMMYFUNCTION("IMPORTRANGE(""https://docs.google.com/spreadsheets/d/1MeEWN-I1oV_STSDYn1IFDPWt_1FKiwhDph83XaGc0o0/edit?usp=sharing"",""งบพรบ!DN37"")"),140100)</f>
        <v>140100</v>
      </c>
      <c r="N282" s="93">
        <f ca="1">IFERROR(__xludf.DUMMYFUNCTION("IMPORTRANGE(""https://docs.google.com/spreadsheets/d/1MeEWN-I1oV_STSDYn1IFDPWt_1FKiwhDph83XaGc0o0/edit?usp=sharing"",""งบพรบ!DP37"")"),109052.08)</f>
        <v>109052.08</v>
      </c>
      <c r="O282" s="93">
        <f t="shared" ca="1" si="126"/>
        <v>54.935308044934764</v>
      </c>
      <c r="P282" s="93">
        <f t="shared" ca="1" si="127"/>
        <v>77.838743754461106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IFERROR(__xludf.DUMMYFUNCTION("IMPORTRANGE(""https://docs.google.com/spreadsheets/d/1MeEWN-I1oV_STSDYn1IFDPWt_1FKiwhDph83XaGc0o0/edit?usp=sharing"",""งบพรบ!DL37"")"),0)</f>
        <v>0</v>
      </c>
      <c r="M285" s="93">
        <f ca="1">IFERROR(__xludf.DUMMYFUNCTION("IMPORTRANGE(""https://docs.google.com/spreadsheets/d/1MeEWN-I1oV_STSDYn1IFDPWt_1FKiwhDph83XaGc0o0/edit?usp=sharing"",""งบพรบ!DO37"")"),0)</f>
        <v>0</v>
      </c>
      <c r="N285" s="93">
        <f ca="1">IFERROR(__xludf.DUMMYFUNCTION("IMPORTRANGE(""https://docs.google.com/spreadsheets/d/1MeEWN-I1oV_STSDYn1IFDPWt_1FKiwhDph83XaGc0o0/edit?usp=sharing"",""งบพรบ!DQ37"")"),0)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IFERROR(__xludf.DUMMYFUNCTION("IMPORTRANGE(""https://docs.google.com/spreadsheets/d/1QqKyyYR6Q21VydFLVH3TRQUabQu_ym0Zz7PgGX0-kHA/edit?usp=sharing"",""แผน!EB37"")"),10)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IFERROR(__xludf.DUMMYFUNCTION("IMPORTRANGE(""https://docs.google.com/spreadsheets/d/1QqKyyYR6Q21VydFLVH3TRQUabQu_ym0Zz7PgGX0-kHA/edit?usp=sharing"",""แผน!EB37"")"),10)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IFERROR(__xludf.DUMMYFUNCTION("IMPORTRANGE(""https://docs.google.com/spreadsheets/d/1QqKyyYR6Q21VydFLVH3TRQUabQu_ym0Zz7PgGX0-kHA/edit?usp=sharing"",""แผน!EB37"")"),10)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IFERROR(__xludf.DUMMYFUNCTION("IMPORTRANGE(""https://docs.google.com/spreadsheets/d/1MeEWN-I1oV_STSDYn1IFDPWt_1FKiwhDph83XaGc0o0/edit?usp=sharing"",""งบพรบ!DS37"")"),0)</f>
        <v>0</v>
      </c>
      <c r="M303" s="93">
        <f ca="1">IFERROR(__xludf.DUMMYFUNCTION("IMPORTRANGE(""https://docs.google.com/spreadsheets/d/1MeEWN-I1oV_STSDYn1IFDPWt_1FKiwhDph83XaGc0o0/edit?usp=sharing"",""งบพรบ!DX37"")"),0)</f>
        <v>0</v>
      </c>
      <c r="N303" s="93">
        <f ca="1">IFERROR(__xludf.DUMMYFUNCTION("IMPORTRANGE(""https://docs.google.com/spreadsheets/d/1MeEWN-I1oV_STSDYn1IFDPWt_1FKiwhDph83XaGc0o0/edit?usp=sharing"",""งบพรบ!DZ37"")"),0)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IFERROR(__xludf.DUMMYFUNCTION("IMPORTRANGE(""https://docs.google.com/spreadsheets/d/1MeEWN-I1oV_STSDYn1IFDPWt_1FKiwhDph83XaGc0o0/edit?usp=sharing"",""งบพรบ!DV37"")"),0)</f>
        <v>0</v>
      </c>
      <c r="M306" s="93">
        <f ca="1">IFERROR(__xludf.DUMMYFUNCTION("IMPORTRANGE(""https://docs.google.com/spreadsheets/d/1MeEWN-I1oV_STSDYn1IFDPWt_1FKiwhDph83XaGc0o0/edit?usp=sharing"",""งบพรบ!DY37"")"),0)</f>
        <v>0</v>
      </c>
      <c r="N306" s="93">
        <f ca="1">IFERROR(__xludf.DUMMYFUNCTION("IMPORTRANGE(""https://docs.google.com/spreadsheets/d/1MeEWN-I1oV_STSDYn1IFDPWt_1FKiwhDph83XaGc0o0/edit?usp=sharing"",""งบพรบ!EA37"")"),0)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IFERROR(__xludf.DUMMYFUNCTION("IMPORTRANGE(""https://docs.google.com/spreadsheets/d/1MeEWN-I1oV_STSDYn1IFDPWt_1FKiwhDph83XaGc0o0/edit?usp=sharing"",""งบพรบ!EC37"")"),0)</f>
        <v>0</v>
      </c>
      <c r="M320" s="93">
        <f ca="1">IFERROR(__xludf.DUMMYFUNCTION("IMPORTRANGE(""https://docs.google.com/spreadsheets/d/1MeEWN-I1oV_STSDYn1IFDPWt_1FKiwhDph83XaGc0o0/edit?usp=sharing"",""งบพรบ!EH37"")"),0)</f>
        <v>0</v>
      </c>
      <c r="N320" s="93">
        <f ca="1">IFERROR(__xludf.DUMMYFUNCTION("IMPORTRANGE(""https://docs.google.com/spreadsheets/d/1MeEWN-I1oV_STSDYn1IFDPWt_1FKiwhDph83XaGc0o0/edit?usp=sharing"",""งบพรบ!EJ37"")"),0)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IFERROR(__xludf.DUMMYFUNCTION("IMPORTRANGE(""https://docs.google.com/spreadsheets/d/1MeEWN-I1oV_STSDYn1IFDPWt_1FKiwhDph83XaGc0o0/edit?usp=sharing"",""งบพรบ!EF37"")"),0)</f>
        <v>0</v>
      </c>
      <c r="M323" s="93">
        <f ca="1">IFERROR(__xludf.DUMMYFUNCTION("IMPORTRANGE(""https://docs.google.com/spreadsheets/d/1MeEWN-I1oV_STSDYn1IFDPWt_1FKiwhDph83XaGc0o0/edit?usp=sharing"",""งบพรบ!EI37"")"),0)</f>
        <v>0</v>
      </c>
      <c r="N323" s="93">
        <f ca="1">IFERROR(__xludf.DUMMYFUNCTION("IMPORTRANGE(""https://docs.google.com/spreadsheets/d/1MeEWN-I1oV_STSDYn1IFDPWt_1FKiwhDph83XaGc0o0/edit?usp=sharing"",""งบพรบ!EK37"")"),0)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IFERROR(__xludf.DUMMYFUNCTION("IMPORTRANGE(""https://docs.google.com/spreadsheets/d/1QqKyyYR6Q21VydFLVH3TRQUabQu_ym0Zz7PgGX0-kHA/edit?usp=sharing"",""แผน!EG37"")"),3600)</f>
        <v>3600</v>
      </c>
      <c r="J327" s="444">
        <f ca="1">J338+J341+J342+J343</f>
        <v>2131</v>
      </c>
      <c r="K327" s="445">
        <f ca="1">IF(I327&gt;0,J327*100/I327,0)</f>
        <v>59.194444444444443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83546</v>
      </c>
      <c r="O328" s="155">
        <f t="shared" ref="O328:O336" ca="1" si="150">IF(L328&gt;0,N328*100/L328,0)</f>
        <v>46.673743016759779</v>
      </c>
      <c r="P328" s="155">
        <f t="shared" ref="P328:P336" ca="1" si="151">IF(M328&gt;0,N328*100/M328,0)</f>
        <v>61.093967093235833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83546</v>
      </c>
      <c r="O330" s="93">
        <f t="shared" ca="1" si="150"/>
        <v>46.673743016759779</v>
      </c>
      <c r="P330" s="93">
        <f t="shared" ca="1" si="151"/>
        <v>61.093967093235833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136750</v>
      </c>
      <c r="N331" s="497">
        <f t="shared" ca="1" si="153"/>
        <v>83546</v>
      </c>
      <c r="O331" s="497">
        <f t="shared" ca="1" si="150"/>
        <v>46.673743016759779</v>
      </c>
      <c r="P331" s="497">
        <f t="shared" ca="1" si="151"/>
        <v>61.093967093235833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IFERROR(__xludf.DUMMYFUNCTION("IMPORTRANGE(""https://docs.google.com/spreadsheets/d/1MeEWN-I1oV_STSDYn1IFDPWt_1FKiwhDph83XaGc0o0/edit?usp=sharing"",""งบพรบ!EM37"")"),179000)</f>
        <v>179000</v>
      </c>
      <c r="M333" s="93">
        <f ca="1">IFERROR(__xludf.DUMMYFUNCTION("IMPORTRANGE(""https://docs.google.com/spreadsheets/d/1MeEWN-I1oV_STSDYn1IFDPWt_1FKiwhDph83XaGc0o0/edit?usp=sharing"",""งบพรบ!ER37"")"),136750)</f>
        <v>136750</v>
      </c>
      <c r="N333" s="93">
        <f ca="1">IFERROR(__xludf.DUMMYFUNCTION("IMPORTRANGE(""https://docs.google.com/spreadsheets/d/1MeEWN-I1oV_STSDYn1IFDPWt_1FKiwhDph83XaGc0o0/edit?usp=sharing"",""งบพรบ!ET37"")"),83546)</f>
        <v>83546</v>
      </c>
      <c r="O333" s="93">
        <f t="shared" ca="1" si="150"/>
        <v>46.673743016759779</v>
      </c>
      <c r="P333" s="93">
        <f t="shared" ca="1" si="151"/>
        <v>61.093967093235833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IFERROR(__xludf.DUMMYFUNCTION("IMPORTRANGE(""https://docs.google.com/spreadsheets/d/1MeEWN-I1oV_STSDYn1IFDPWt_1FKiwhDph83XaGc0o0/edit?usp=sharing"",""งบพรบ!EP37"")"),0)</f>
        <v>0</v>
      </c>
      <c r="M336" s="93">
        <f ca="1">IFERROR(__xludf.DUMMYFUNCTION("IMPORTRANGE(""https://docs.google.com/spreadsheets/d/1MeEWN-I1oV_STSDYn1IFDPWt_1FKiwhDph83XaGc0o0/edit?usp=sharing"",""งบพรบ!ES37"")"),0)</f>
        <v>0</v>
      </c>
      <c r="N336" s="93">
        <f ca="1">IFERROR(__xludf.DUMMYFUNCTION("IMPORTRANGE(""https://docs.google.com/spreadsheets/d/1MeEWN-I1oV_STSDYn1IFDPWt_1FKiwhDph83XaGc0o0/edit?usp=sharing"",""งบพรบ!EU37"")"),0)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IFERROR(__xludf.DUMMYFUNCTION("IMPORTRANGE(""https://docs.google.com/spreadsheets/d/1QqKyyYR6Q21VydFLVH3TRQUabQu_ym0Zz7PgGX0-kHA/edit?usp=sharing"",""แผน!EG37"")"),3600)</f>
        <v>3600</v>
      </c>
      <c r="J338" s="270">
        <f ca="1">IFERROR(__xludf.DUMMYFUNCTION("IMPORTRANGE(""https://docs.google.com/spreadsheets/d/1kVcqe37tkHyjCSG3S0O1AXqVkqjo8mSIZil3BcpIysc/edit?usp=sharing"",""ศูนย์!D37"")"),1942)</f>
        <v>1942</v>
      </c>
      <c r="K338" s="497">
        <f ca="1">IF(I338&gt;0,J338*100/I338,0)</f>
        <v>53.944444444444443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IFERROR(__xludf.DUMMYFUNCTION("IMPORTRANGE(""https://docs.google.com/spreadsheets/d/1QqKyyYR6Q21VydFLVH3TRQUabQu_ym0Zz7PgGX0-kHA/edit?usp=sharing"",""แผน!EH37"")"),8)</f>
        <v>8</v>
      </c>
      <c r="J340" s="270">
        <f ca="1">IFERROR(__xludf.DUMMYFUNCTION("IMPORTRANGE(""https://docs.google.com/spreadsheets/d/1kVcqe37tkHyjCSG3S0O1AXqVkqjo8mSIZil3BcpIysc/edit?usp=sharing"",""ศูนย์!E37"")"),2)</f>
        <v>2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IFERROR(__xludf.DUMMYFUNCTION("IMPORTRANGE(""https://docs.google.com/spreadsheets/d/1kVcqe37tkHyjCSG3S0O1AXqVkqjo8mSIZil3BcpIysc/edit?usp=sharing"",""ศูนย์!F37"")"),189)</f>
        <v>189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1464800</v>
      </c>
      <c r="M345" s="155">
        <f t="shared" ca="1" si="155"/>
        <v>1115444</v>
      </c>
      <c r="N345" s="155">
        <f t="shared" ca="1" si="155"/>
        <v>834271.5</v>
      </c>
      <c r="O345" s="155">
        <f t="shared" ref="O345:O353" ca="1" si="156">IF(L345&gt;0,N345*100/L345,0)</f>
        <v>56.954635445111961</v>
      </c>
      <c r="P345" s="155">
        <f t="shared" ref="P345:P353" ca="1" si="157">IF(M345&gt;0,N345*100/M345,0)</f>
        <v>74.792773102011395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1464800</v>
      </c>
      <c r="M347" s="93">
        <f t="shared" ca="1" si="158"/>
        <v>1115444</v>
      </c>
      <c r="N347" s="93">
        <f t="shared" ca="1" si="158"/>
        <v>834271.5</v>
      </c>
      <c r="O347" s="93">
        <f t="shared" ca="1" si="156"/>
        <v>56.954635445111961</v>
      </c>
      <c r="P347" s="93">
        <f t="shared" ca="1" si="157"/>
        <v>74.792773102011395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1329200</v>
      </c>
      <c r="M348" s="497">
        <f t="shared" ca="1" si="159"/>
        <v>979844</v>
      </c>
      <c r="N348" s="497">
        <f t="shared" ca="1" si="159"/>
        <v>698671.5</v>
      </c>
      <c r="O348" s="497">
        <f t="shared" ca="1" si="156"/>
        <v>52.563308757147155</v>
      </c>
      <c r="P348" s="497">
        <f t="shared" ca="1" si="157"/>
        <v>71.304360694151313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IFERROR(__xludf.DUMMYFUNCTION("IMPORTRANGE(""https://docs.google.com/spreadsheets/d/1MeEWN-I1oV_STSDYn1IFDPWt_1FKiwhDph83XaGc0o0/edit?usp=sharing"",""งบพรบ!EW37"")"),1329200)</f>
        <v>1329200</v>
      </c>
      <c r="M350" s="93">
        <f ca="1">IFERROR(__xludf.DUMMYFUNCTION("IMPORTRANGE(""https://docs.google.com/spreadsheets/d/1MeEWN-I1oV_STSDYn1IFDPWt_1FKiwhDph83XaGc0o0/edit?usp=sharing"",""งบพรบ!FB37"")"),979844)</f>
        <v>979844</v>
      </c>
      <c r="N350" s="93">
        <f ca="1">IFERROR(__xludf.DUMMYFUNCTION("IMPORTRANGE(""https://docs.google.com/spreadsheets/d/1MeEWN-I1oV_STSDYn1IFDPWt_1FKiwhDph83XaGc0o0/edit?usp=sharing"",""งบพรบ!FD37"")"),698671.5)</f>
        <v>698671.5</v>
      </c>
      <c r="O350" s="93">
        <f t="shared" ca="1" si="156"/>
        <v>52.563308757147155</v>
      </c>
      <c r="P350" s="93">
        <f t="shared" ca="1" si="157"/>
        <v>71.304360694151313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135600</v>
      </c>
      <c r="N351" s="497">
        <f t="shared" ca="1" si="160"/>
        <v>135600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IFERROR(__xludf.DUMMYFUNCTION("IMPORTRANGE(""https://docs.google.com/spreadsheets/d/1MeEWN-I1oV_STSDYn1IFDPWt_1FKiwhDph83XaGc0o0/edit?usp=sharing"",""งบพรบ!EZ37"")"),135600)</f>
        <v>135600</v>
      </c>
      <c r="M353" s="93">
        <f ca="1">IFERROR(__xludf.DUMMYFUNCTION("IMPORTRANGE(""https://docs.google.com/spreadsheets/d/1MeEWN-I1oV_STSDYn1IFDPWt_1FKiwhDph83XaGc0o0/edit?usp=sharing"",""งบพรบ!FC37"")"),135600)</f>
        <v>135600</v>
      </c>
      <c r="N353" s="93">
        <f ca="1">IFERROR(__xludf.DUMMYFUNCTION("IMPORTRANGE(""https://docs.google.com/spreadsheets/d/1MeEWN-I1oV_STSDYn1IFDPWt_1FKiwhDph83XaGc0o0/edit?usp=sharing"",""งบพรบ!FE37"")"),135600)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IFERROR(__xludf.DUMMYFUNCTION("IMPORTRANGE(""https://docs.google.com/spreadsheets/d/1QqKyyYR6Q21VydFLVH3TRQUabQu_ym0Zz7PgGX0-kHA/edit?usp=sharing"",""แผน!EP37"")"),620)</f>
        <v>620</v>
      </c>
      <c r="J355" s="464">
        <f ca="1">J362</f>
        <v>43</v>
      </c>
      <c r="K355" s="465">
        <f ca="1">IF(I355&gt;0,J355*100/I355,0)</f>
        <v>6.935483870967742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IFERROR(__xludf.DUMMYFUNCTION("IMPORTRANGE(""https://docs.google.com/spreadsheets/d/1XWAQStnk-4SwqDmLtmXYiTMKHgktTP8We1SCoS47DrQ/edit?usp=sharing"",""จัดที่ดิน!W37"")"),326)</f>
        <v>326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IFERROR(__xludf.DUMMYFUNCTION("IMPORTRANGE(""https://docs.google.com/spreadsheets/d/1QqKyyYR6Q21VydFLVH3TRQUabQu_ym0Zz7PgGX0-kHA/edit?usp=sharing"",""แผน!EO37"")"),6300)</f>
        <v>6300</v>
      </c>
      <c r="J359" s="270">
        <f ca="1">IFERROR(__xludf.DUMMYFUNCTION("IMPORTRANGE(""https://docs.google.com/spreadsheets/d/1XWAQStnk-4SwqDmLtmXYiTMKHgktTP8We1SCoS47DrQ/edit?usp=sharing"",""จัดที่ดิน!X37"")"),3688.09)</f>
        <v>3688.09</v>
      </c>
      <c r="K359" s="497">
        <f t="shared" ca="1" si="161"/>
        <v>58.541111111111114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IFERROR(__xludf.DUMMYFUNCTION("IMPORTRANGE(""https://docs.google.com/spreadsheets/d/1QqKyyYR6Q21VydFLVH3TRQUabQu_ym0Zz7PgGX0-kHA/edit?usp=sharing"",""แผน!EP37"")"),620)</f>
        <v>620</v>
      </c>
      <c r="J360" s="270">
        <f ca="1">IFERROR(__xludf.DUMMYFUNCTION("IMPORTRANGE(""https://docs.google.com/spreadsheets/d/1XWAQStnk-4SwqDmLtmXYiTMKHgktTP8We1SCoS47DrQ/edit?usp=sharing"",""จัดที่ดิน!Y37"")"),39)</f>
        <v>39</v>
      </c>
      <c r="K360" s="497">
        <f t="shared" ca="1" si="161"/>
        <v>6.290322580645161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IFERROR(__xludf.DUMMYFUNCTION("IMPORTRANGE(""https://docs.google.com/spreadsheets/d/1XWAQStnk-4SwqDmLtmXYiTMKHgktTP8We1SCoS47DrQ/edit?usp=sharing"",""จัดที่ดิน!Z37"")"),421.33)</f>
        <v>421.33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IFERROR(__xludf.DUMMYFUNCTION("IMPORTRANGE(""https://docs.google.com/spreadsheets/d/1QqKyyYR6Q21VydFLVH3TRQUabQu_ym0Zz7PgGX0-kHA/edit?usp=sharing"",""แผน!EP37"")"),620)</f>
        <v>620</v>
      </c>
      <c r="J362" s="270">
        <f ca="1">IFERROR(__xludf.DUMMYFUNCTION("IMPORTRANGE(""https://docs.google.com/spreadsheets/d/1XWAQStnk-4SwqDmLtmXYiTMKHgktTP8We1SCoS47DrQ/edit?usp=sharing"",""จัดที่ดิน!AA37"")"),43)</f>
        <v>43</v>
      </c>
      <c r="K362" s="497">
        <f t="shared" ca="1" si="161"/>
        <v>6.935483870967742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IFERROR(__xludf.DUMMYFUNCTION("IMPORTRANGE(""https://docs.google.com/spreadsheets/d/1XWAQStnk-4SwqDmLtmXYiTMKHgktTP8We1SCoS47DrQ/edit?usp=sharing"",""จัดที่ดิน!AB37"")"),479.409999999999)</f>
        <v>479.409999999999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1520</v>
      </c>
      <c r="J364" s="478">
        <f t="shared" ca="1" si="162"/>
        <v>348</v>
      </c>
      <c r="K364" s="479">
        <f t="shared" ca="1" si="161"/>
        <v>22.894736842105264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IFERROR(__xludf.DUMMYFUNCTION("IMPORTRANGE(""https://docs.google.com/spreadsheets/d/1QqKyyYR6Q21VydFLVH3TRQUabQu_ym0Zz7PgGX0-kHA/edit?usp=sharing"",""แผน!EJ37"")"),20)</f>
        <v>20</v>
      </c>
      <c r="J365" s="490">
        <f ca="1">J372</f>
        <v>12</v>
      </c>
      <c r="K365" s="491">
        <f t="shared" ca="1" si="161"/>
        <v>60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IFERROR(__xludf.DUMMYFUNCTION("IMPORTRANGE(""https://docs.google.com/spreadsheets/d/1XWAQStnk-4SwqDmLtmXYiTMKHgktTP8We1SCoS47DrQ/edit?usp=sharing"",""จัดที่ดิน!E37"")"),29)</f>
        <v>29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IFERROR(__xludf.DUMMYFUNCTION("IMPORTRANGE(""https://docs.google.com/spreadsheets/d/1QqKyyYR6Q21VydFLVH3TRQUabQu_ym0Zz7PgGX0-kHA/edit?usp=sharing"",""แผน!EI37"")"),300)</f>
        <v>300</v>
      </c>
      <c r="J369" s="270">
        <f ca="1">IFERROR(__xludf.DUMMYFUNCTION("IMPORTRANGE(""https://docs.google.com/spreadsheets/d/1XWAQStnk-4SwqDmLtmXYiTMKHgktTP8We1SCoS47DrQ/edit?usp=sharing"",""จัดที่ดิน!F37"")"),365)</f>
        <v>365</v>
      </c>
      <c r="K369" s="497">
        <f t="shared" ca="1" si="163"/>
        <v>121.66666666666667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IFERROR(__xludf.DUMMYFUNCTION("IMPORTRANGE(""https://docs.google.com/spreadsheets/d/1QqKyyYR6Q21VydFLVH3TRQUabQu_ym0Zz7PgGX0-kHA/edit?usp=sharing"",""แผน!EJ37"")"),20)</f>
        <v>20</v>
      </c>
      <c r="J370" s="270">
        <f ca="1">IFERROR(__xludf.DUMMYFUNCTION("IMPORTRANGE(""https://docs.google.com/spreadsheets/d/1XWAQStnk-4SwqDmLtmXYiTMKHgktTP8We1SCoS47DrQ/edit?usp=sharing"",""จัดที่ดิน!G37"")"),14)</f>
        <v>14</v>
      </c>
      <c r="K370" s="497">
        <f t="shared" ca="1" si="163"/>
        <v>70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IFERROR(__xludf.DUMMYFUNCTION("IMPORTRANGE(""https://docs.google.com/spreadsheets/d/1XWAQStnk-4SwqDmLtmXYiTMKHgktTP8We1SCoS47DrQ/edit?usp=sharing"",""จัดที่ดิน!H37"")"),169.24)</f>
        <v>169.24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IFERROR(__xludf.DUMMYFUNCTION("IMPORTRANGE(""https://docs.google.com/spreadsheets/d/1QqKyyYR6Q21VydFLVH3TRQUabQu_ym0Zz7PgGX0-kHA/edit?usp=sharing"",""แผน!EJ37"")"),20)</f>
        <v>20</v>
      </c>
      <c r="J372" s="270">
        <f ca="1">IFERROR(__xludf.DUMMYFUNCTION("IMPORTRANGE(""https://docs.google.com/spreadsheets/d/1XWAQStnk-4SwqDmLtmXYiTMKHgktTP8We1SCoS47DrQ/edit?usp=sharing"",""จัดที่ดิน!I37"")"),12)</f>
        <v>12</v>
      </c>
      <c r="K372" s="497">
        <f t="shared" ca="1" si="163"/>
        <v>60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IFERROR(__xludf.DUMMYFUNCTION("IMPORTRANGE(""https://docs.google.com/spreadsheets/d/1XWAQStnk-4SwqDmLtmXYiTMKHgktTP8We1SCoS47DrQ/edit?usp=sharing"",""จัดที่ดิน!J37"")"),149.83)</f>
        <v>149.83000000000001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IFERROR(__xludf.DUMMYFUNCTION("IMPORTRANGE(""https://docs.google.com/spreadsheets/d/1QqKyyYR6Q21VydFLVH3TRQUabQu_ym0Zz7PgGX0-kHA/edit?usp=sharing"",""แผน!EU37"")"),1500)</f>
        <v>1500</v>
      </c>
      <c r="J374" s="490">
        <f ca="1">J381</f>
        <v>336</v>
      </c>
      <c r="K374" s="491">
        <f t="shared" ca="1" si="163"/>
        <v>22.4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IFERROR(__xludf.DUMMYFUNCTION("IMPORTRANGE(""https://docs.google.com/spreadsheets/d/1XWAQStnk-4SwqDmLtmXYiTMKHgktTP8We1SCoS47DrQ/edit?usp=sharing"",""จัดที่ดิน!AH37"")"),297)</f>
        <v>297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IFERROR(__xludf.DUMMYFUNCTION("IMPORTRANGE(""https://docs.google.com/spreadsheets/d/1QqKyyYR6Q21VydFLVH3TRQUabQu_ym0Zz7PgGX0-kHA/edit?usp=sharing"",""แผน!ET37"")"),6000)</f>
        <v>6000</v>
      </c>
      <c r="J378" s="270">
        <f ca="1">IFERROR(__xludf.DUMMYFUNCTION("IMPORTRANGE(""https://docs.google.com/spreadsheets/d/1XWAQStnk-4SwqDmLtmXYiTMKHgktTP8We1SCoS47DrQ/edit?usp=sharing"",""จัดที่ดิน!AI37"")"),3323.09)</f>
        <v>3323.09</v>
      </c>
      <c r="K378" s="497">
        <f t="shared" ca="1" si="164"/>
        <v>55.384833333333333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IFERROR(__xludf.DUMMYFUNCTION("IMPORTRANGE(""https://docs.google.com/spreadsheets/d/1QqKyyYR6Q21VydFLVH3TRQUabQu_ym0Zz7PgGX0-kHA/edit?usp=sharing"",""แผน!EU37"")"),1500)</f>
        <v>1500</v>
      </c>
      <c r="J379" s="270">
        <f ca="1">IFERROR(__xludf.DUMMYFUNCTION("IMPORTRANGE(""https://docs.google.com/spreadsheets/d/1XWAQStnk-4SwqDmLtmXYiTMKHgktTP8We1SCoS47DrQ/edit?usp=sharing"",""จัดที่ดิน!AJ37"")"),443)</f>
        <v>443</v>
      </c>
      <c r="K379" s="497">
        <f t="shared" ca="1" si="164"/>
        <v>29.533333333333335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IFERROR(__xludf.DUMMYFUNCTION("IMPORTRANGE(""https://docs.google.com/spreadsheets/d/1XWAQStnk-4SwqDmLtmXYiTMKHgktTP8We1SCoS47DrQ/edit?usp=sharing"",""จัดที่ดิน!AK37"")"),7211.45)</f>
        <v>7211.45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IFERROR(__xludf.DUMMYFUNCTION("IMPORTRANGE(""https://docs.google.com/spreadsheets/d/1QqKyyYR6Q21VydFLVH3TRQUabQu_ym0Zz7PgGX0-kHA/edit?usp=sharing"",""แผน!EU37"")"),1500)</f>
        <v>1500</v>
      </c>
      <c r="J381" s="270">
        <f ca="1">IFERROR(__xludf.DUMMYFUNCTION("IMPORTRANGE(""https://docs.google.com/spreadsheets/d/1XWAQStnk-4SwqDmLtmXYiTMKHgktTP8We1SCoS47DrQ/edit?usp=sharing"",""จัดที่ดิน!AL37"")"),336)</f>
        <v>336</v>
      </c>
      <c r="K381" s="497">
        <f t="shared" ca="1" si="164"/>
        <v>22.4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IFERROR(__xludf.DUMMYFUNCTION("IMPORTRANGE(""https://docs.google.com/spreadsheets/d/1XWAQStnk-4SwqDmLtmXYiTMKHgktTP8We1SCoS47DrQ/edit?usp=sharing"",""จัดที่ดิน!AM37"")"),5300.6)</f>
        <v>5300.6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IFERROR(__xludf.DUMMYFUNCTION("IMPORTRANGE(""https://docs.google.com/spreadsheets/d/1QqKyyYR6Q21VydFLVH3TRQUabQu_ym0Zz7PgGX0-kHA/edit?usp=sharing"",""แผน!EW37"")"),186)</f>
        <v>186</v>
      </c>
      <c r="J385" s="504">
        <f ca="1">IFERROR(__xludf.DUMMYFUNCTION("IMPORTRANGE(""https://docs.google.com/spreadsheets/d/1XWAQStnk-4SwqDmLtmXYiTMKHgktTP8We1SCoS47DrQ/edit?usp=sharing"",""จัดที่ดิน!AP37"")"),0)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IFERROR(__xludf.DUMMYFUNCTION("IMPORTRANGE(""https://docs.google.com/spreadsheets/d/1MeEWN-I1oV_STSDYn1IFDPWt_1FKiwhDph83XaGc0o0/edit?usp=sharing"",""งบพรบ!FG37"")"),0)</f>
        <v>0</v>
      </c>
      <c r="M394" s="93">
        <f ca="1">IFERROR(__xludf.DUMMYFUNCTION("IMPORTRANGE(""https://docs.google.com/spreadsheets/d/1MeEWN-I1oV_STSDYn1IFDPWt_1FKiwhDph83XaGc0o0/edit?usp=sharing"",""งบพรบ!FL37"")"),0)</f>
        <v>0</v>
      </c>
      <c r="N394" s="93">
        <f ca="1">IFERROR(__xludf.DUMMYFUNCTION("IMPORTRANGE(""https://docs.google.com/spreadsheets/d/1MeEWN-I1oV_STSDYn1IFDPWt_1FKiwhDph83XaGc0o0/edit?usp=sharing"",""งบพรบ!FN37"")"),0)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IFERROR(__xludf.DUMMYFUNCTION("IMPORTRANGE(""https://docs.google.com/spreadsheets/d/1MeEWN-I1oV_STSDYn1IFDPWt_1FKiwhDph83XaGc0o0/edit?usp=sharing"",""งบพรบ!FJ37"")"),0)</f>
        <v>0</v>
      </c>
      <c r="M397" s="93">
        <f ca="1">IFERROR(__xludf.DUMMYFUNCTION("IMPORTRANGE(""https://docs.google.com/spreadsheets/d/1MeEWN-I1oV_STSDYn1IFDPWt_1FKiwhDph83XaGc0o0/edit?usp=sharing"",""งบพรบ!FM37"")"),0)</f>
        <v>0</v>
      </c>
      <c r="N397" s="93">
        <f ca="1">IFERROR(__xludf.DUMMYFUNCTION("IMPORTRANGE(""https://docs.google.com/spreadsheets/d/1MeEWN-I1oV_STSDYn1IFDPWt_1FKiwhDph83XaGc0o0/edit?usp=sharing"",""งบพรบ!FO37"")"),0)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IFERROR(__xludf.DUMMYFUNCTION("IMPORTRANGE(""https://docs.google.com/spreadsheets/d/1MeEWN-I1oV_STSDYn1IFDPWt_1FKiwhDph83XaGc0o0/edit?usp=sharing"",""งบพรบ!FQ37"")"),0)</f>
        <v>0</v>
      </c>
      <c r="M407" s="93">
        <f ca="1">IFERROR(__xludf.DUMMYFUNCTION("IMPORTRANGE(""https://docs.google.com/spreadsheets/d/1MeEWN-I1oV_STSDYn1IFDPWt_1FKiwhDph83XaGc0o0/edit?usp=sharing"",""งบพรบ!FV37"")"),0)</f>
        <v>0</v>
      </c>
      <c r="N407" s="93">
        <f ca="1">IFERROR(__xludf.DUMMYFUNCTION("IMPORTRANGE(""https://docs.google.com/spreadsheets/d/1MeEWN-I1oV_STSDYn1IFDPWt_1FKiwhDph83XaGc0o0/edit?usp=sharing"",""งบพรบ!FX37"")"),0)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IFERROR(__xludf.DUMMYFUNCTION("IMPORTRANGE(""https://docs.google.com/spreadsheets/d/1MeEWN-I1oV_STSDYn1IFDPWt_1FKiwhDph83XaGc0o0/edit?usp=sharing"",""งบพรบ!FT37"")"),0)</f>
        <v>0</v>
      </c>
      <c r="M410" s="93">
        <f ca="1">IFERROR(__xludf.DUMMYFUNCTION("IMPORTRANGE(""https://docs.google.com/spreadsheets/d/1MeEWN-I1oV_STSDYn1IFDPWt_1FKiwhDph83XaGc0o0/edit?usp=sharing"",""งบพรบ!FW37"")"),0)</f>
        <v>0</v>
      </c>
      <c r="N410" s="93">
        <f ca="1">IFERROR(__xludf.DUMMYFUNCTION("IMPORTRANGE(""https://docs.google.com/spreadsheets/d/1MeEWN-I1oV_STSDYn1IFDPWt_1FKiwhDph83XaGc0o0/edit?usp=sharing"",""งบพรบ!FY37"")"),0)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2803355</v>
      </c>
      <c r="M414" s="552">
        <f t="shared" ca="1" si="181"/>
        <v>2803355</v>
      </c>
      <c r="N414" s="552">
        <f t="shared" si="181"/>
        <v>732975</v>
      </c>
      <c r="O414" s="552">
        <f ca="1">IF(L414&gt;0,N414*100/L414,0)</f>
        <v>26.146349641768523</v>
      </c>
      <c r="P414" s="552">
        <f ca="1">IF(M414&gt;0,N414*100/M414,0)</f>
        <v>26.146349641768523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66760</v>
      </c>
      <c r="M419" s="155">
        <f t="shared" ca="1" si="184"/>
        <v>66760</v>
      </c>
      <c r="N419" s="155">
        <f t="shared" si="184"/>
        <v>55990</v>
      </c>
      <c r="O419" s="155">
        <f t="shared" ref="O419:O424" ca="1" si="185">IF(L419&gt;0,N419*100/L419,0)</f>
        <v>83.867585380467347</v>
      </c>
      <c r="P419" s="155">
        <f t="shared" ref="P419:P424" ca="1" si="186">IF(M419&gt;0,N419*100/M419,0)</f>
        <v>83.867585380467347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66760</v>
      </c>
      <c r="M421" s="93">
        <f t="shared" ca="1" si="187"/>
        <v>66760</v>
      </c>
      <c r="N421" s="93">
        <f t="shared" si="187"/>
        <v>55990</v>
      </c>
      <c r="O421" s="93">
        <f t="shared" ca="1" si="185"/>
        <v>83.867585380467347</v>
      </c>
      <c r="P421" s="93">
        <f t="shared" ca="1" si="186"/>
        <v>83.867585380467347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66760</v>
      </c>
      <c r="M422" s="497">
        <f t="shared" ca="1" si="188"/>
        <v>66760</v>
      </c>
      <c r="N422" s="497">
        <f t="shared" si="188"/>
        <v>55990</v>
      </c>
      <c r="O422" s="497">
        <f t="shared" ca="1" si="185"/>
        <v>83.867585380467347</v>
      </c>
      <c r="P422" s="497">
        <f t="shared" ca="1" si="186"/>
        <v>83.867585380467347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IFERROR(__xludf.DUMMYFUNCTION("IMPORTRANGE(""https://docs.google.com/spreadsheets/d/1QqKyyYR6Q21VydFLVH3TRQUabQu_ym0Zz7PgGX0-kHA/edit?usp=sharing"",""แผน!EY37"")"),66760)</f>
        <v>66760</v>
      </c>
      <c r="M424" s="93">
        <f ca="1">L424</f>
        <v>66760</v>
      </c>
      <c r="N424" s="93">
        <f>N425+N426+N427+N428</f>
        <v>55990</v>
      </c>
      <c r="O424" s="93">
        <f t="shared" ca="1" si="185"/>
        <v>83.867585380467347</v>
      </c>
      <c r="P424" s="93">
        <f t="shared" ca="1" si="186"/>
        <v>83.867585380467347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47530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8460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IFERROR(__xludf.DUMMYFUNCTION("IMPORTRANGE(""https://docs.google.com/spreadsheets/d/1QqKyyYR6Q21VydFLVH3TRQUabQu_ym0Zz7PgGX0-kHA/edit?usp=sharing"",""แผน!FC37"")"),15)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IFERROR(__xludf.DUMMYFUNCTION("IMPORTRANGE(""https://docs.google.com/spreadsheets/d/1QqKyyYR6Q21VydFLVH3TRQUabQu_ym0Zz7PgGX0-kHA/edit?usp=sharing"",""แผน!FF37"")"),15)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503280</v>
      </c>
      <c r="M444" s="195">
        <f t="shared" ca="1" si="197"/>
        <v>503280</v>
      </c>
      <c r="N444" s="195">
        <f t="shared" si="197"/>
        <v>157156</v>
      </c>
      <c r="O444" s="195">
        <f t="shared" ref="O444:O449" ca="1" si="198">IF(L444&gt;0,N444*100/L444,0)</f>
        <v>31.226355110475282</v>
      </c>
      <c r="P444" s="195">
        <f t="shared" ref="P444:P449" ca="1" si="199">IF(M444&gt;0,N444*100/M444,0)</f>
        <v>31.226355110475282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503280</v>
      </c>
      <c r="M446" s="93">
        <f t="shared" ca="1" si="200"/>
        <v>503280</v>
      </c>
      <c r="N446" s="93">
        <f t="shared" si="200"/>
        <v>157156</v>
      </c>
      <c r="O446" s="93">
        <f t="shared" ca="1" si="198"/>
        <v>31.226355110475282</v>
      </c>
      <c r="P446" s="93">
        <f t="shared" ca="1" si="199"/>
        <v>31.226355110475282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503280</v>
      </c>
      <c r="M447" s="497">
        <f t="shared" ca="1" si="201"/>
        <v>503280</v>
      </c>
      <c r="N447" s="497">
        <f t="shared" si="201"/>
        <v>157156</v>
      </c>
      <c r="O447" s="497">
        <f t="shared" ca="1" si="198"/>
        <v>31.226355110475282</v>
      </c>
      <c r="P447" s="497">
        <f t="shared" ca="1" si="199"/>
        <v>31.226355110475282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IFERROR(__xludf.DUMMYFUNCTION("IMPORTRANGE(""https://docs.google.com/spreadsheets/d/1QqKyyYR6Q21VydFLVH3TRQUabQu_ym0Zz7PgGX0-kHA/edit?usp=sharing"",""แผน!FJ37"")"),503280)</f>
        <v>503280</v>
      </c>
      <c r="M449" s="93">
        <f ca="1">L449</f>
        <v>503280</v>
      </c>
      <c r="N449" s="93">
        <f>N450+N451+N452+N453</f>
        <v>157156</v>
      </c>
      <c r="O449" s="93">
        <f t="shared" ca="1" si="198"/>
        <v>31.226355110475282</v>
      </c>
      <c r="P449" s="93">
        <f t="shared" ca="1" si="199"/>
        <v>31.226355110475282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81590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f>36886+13000</f>
        <v>49886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25680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IFERROR(__xludf.DUMMYFUNCTION("IMPORTRANGE(""https://docs.google.com/spreadsheets/d/1QqKyyYR6Q21VydFLVH3TRQUabQu_ym0Zz7PgGX0-kHA/edit?usp=sharing"",""แผน!FN37"")"),100)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IFERROR(__xludf.DUMMYFUNCTION("IMPORTRANGE(""https://docs.google.com/spreadsheets/d/1QqKyyYR6Q21VydFLVH3TRQUabQu_ym0Zz7PgGX0-kHA/edit?usp=sharing"",""แผน!FO37"")"),150)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IFERROR(__xludf.DUMMYFUNCTION("IMPORTRANGE(""https://docs.google.com/spreadsheets/d/1QqKyyYR6Q21VydFLVH3TRQUabQu_ym0Zz7PgGX0-kHA/edit?usp=sharing"",""แผน!FO37"")"),150)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IFERROR(__xludf.DUMMYFUNCTION("IMPORTRANGE(""https://docs.google.com/spreadsheets/d/1QqKyyYR6Q21VydFLVH3TRQUabQu_ym0Zz7PgGX0-kHA/edit?usp=sharing"",""แผน!FN37"")"),100)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IFERROR(__xludf.DUMMYFUNCTION("IMPORTRANGE(""https://docs.google.com/spreadsheets/d/1QqKyyYR6Q21VydFLVH3TRQUabQu_ym0Zz7PgGX0-kHA/edit?usp=sharing"",""แผน!FX37"")"),131)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IFERROR(__xludf.DUMMYFUNCTION("IMPORTRANGE(""https://docs.google.com/spreadsheets/d/1QqKyyYR6Q21VydFLVH3TRQUabQu_ym0Zz7PgGX0-kHA/edit?usp=sharing"",""แผน!FW37"")"),1300)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1173538</v>
      </c>
      <c r="M467" s="195">
        <f t="shared" ca="1" si="206"/>
        <v>1173538</v>
      </c>
      <c r="N467" s="195">
        <f t="shared" si="206"/>
        <v>186123</v>
      </c>
      <c r="O467" s="195">
        <f t="shared" ref="O467:O472" ca="1" si="207">IF(L467&gt;0,N467*100/L467,0)</f>
        <v>15.859989195066543</v>
      </c>
      <c r="P467" s="195">
        <f t="shared" ref="P467:P472" ca="1" si="208">IF(M467&gt;0,N467*100/M467,0)</f>
        <v>15.859989195066543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1173538</v>
      </c>
      <c r="M469" s="93">
        <f t="shared" ca="1" si="209"/>
        <v>1173538</v>
      </c>
      <c r="N469" s="93">
        <f t="shared" si="209"/>
        <v>186123</v>
      </c>
      <c r="O469" s="93">
        <f t="shared" ca="1" si="207"/>
        <v>15.859989195066543</v>
      </c>
      <c r="P469" s="93">
        <f t="shared" ca="1" si="208"/>
        <v>15.859989195066543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1173538</v>
      </c>
      <c r="M470" s="497">
        <f t="shared" ca="1" si="210"/>
        <v>1173538</v>
      </c>
      <c r="N470" s="497">
        <f t="shared" si="210"/>
        <v>186123</v>
      </c>
      <c r="O470" s="497">
        <f t="shared" ca="1" si="207"/>
        <v>15.859989195066543</v>
      </c>
      <c r="P470" s="497">
        <f t="shared" ca="1" si="208"/>
        <v>15.859989195066543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IFERROR(__xludf.DUMMYFUNCTION("IMPORTRANGE(""https://docs.google.com/spreadsheets/d/1QqKyyYR6Q21VydFLVH3TRQUabQu_ym0Zz7PgGX0-kHA/edit?usp=sharing"",""แผน!FS37"")"),1173538)</f>
        <v>1173538</v>
      </c>
      <c r="M472" s="93">
        <f ca="1">L472</f>
        <v>1173538</v>
      </c>
      <c r="N472" s="93">
        <f>N473+N474+N475+N476</f>
        <v>186123</v>
      </c>
      <c r="O472" s="93">
        <f t="shared" ca="1" si="207"/>
        <v>15.859989195066543</v>
      </c>
      <c r="P472" s="93">
        <f t="shared" ca="1" si="208"/>
        <v>15.859989195066543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121603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f>143000-104840+13000</f>
        <v>51160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13360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IFERROR(__xludf.DUMMYFUNCTION("IMPORTRANGE(""https://docs.google.com/spreadsheets/d/1QqKyyYR6Q21VydFLVH3TRQUabQu_ym0Zz7PgGX0-kHA/edit?usp=sharing"",""แผน!FY37"")"),1170)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IFERROR(__xludf.DUMMYFUNCTION("IMPORTRANGE(""https://docs.google.com/spreadsheets/d/1QqKyyYR6Q21VydFLVH3TRQUabQu_ym0Zz7PgGX0-kHA/edit?usp=sharing"",""แผน!FZ37"")"),117)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IFERROR(__xludf.DUMMYFUNCTION("IMPORTRANGE(""https://docs.google.com/spreadsheets/d/1QqKyyYR6Q21VydFLVH3TRQUabQu_ym0Zz7PgGX0-kHA/edit?usp=sharing"",""แผน!GA37"")"),130)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IFERROR(__xludf.DUMMYFUNCTION("IMPORTRANGE(""https://docs.google.com/spreadsheets/d/1QqKyyYR6Q21VydFLVH3TRQUabQu_ym0Zz7PgGX0-kHA/edit?usp=sharing"",""แผน!GB37"")"),13)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IFERROR(__xludf.DUMMYFUNCTION("IMPORTRANGE(""https://docs.google.com/spreadsheets/d/1QqKyyYR6Q21VydFLVH3TRQUabQu_ym0Zz7PgGX0-kHA/edit?usp=sharing"",""แผน!FY37"")"),1170)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IFERROR(__xludf.DUMMYFUNCTION("IMPORTRANGE(""https://docs.google.com/spreadsheets/d/1QqKyyYR6Q21VydFLVH3TRQUabQu_ym0Zz7PgGX0-kHA/edit?usp=sharing"",""แผน!GA37"")"),130)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90157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487547</v>
      </c>
      <c r="M544" s="155">
        <f t="shared" ca="1" si="236"/>
        <v>487547</v>
      </c>
      <c r="N544" s="155">
        <f t="shared" si="236"/>
        <v>160156</v>
      </c>
      <c r="O544" s="155">
        <f t="shared" ref="O544:O549" ca="1" si="237">IF(L544&gt;0,N544*100/L544,0)</f>
        <v>32.849345806660693</v>
      </c>
      <c r="P544" s="155">
        <f t="shared" ref="P544:P549" ca="1" si="238">IF(M544&gt;0,N544*100/M544,0)</f>
        <v>32.849345806660693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487547</v>
      </c>
      <c r="M546" s="93">
        <f t="shared" ca="1" si="240"/>
        <v>487547</v>
      </c>
      <c r="N546" s="93">
        <f t="shared" si="240"/>
        <v>160156</v>
      </c>
      <c r="O546" s="93">
        <f t="shared" ca="1" si="237"/>
        <v>32.849345806660693</v>
      </c>
      <c r="P546" s="93">
        <f t="shared" ca="1" si="238"/>
        <v>32.849345806660693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487547</v>
      </c>
      <c r="M547" s="497">
        <f t="shared" ca="1" si="241"/>
        <v>487547</v>
      </c>
      <c r="N547" s="497">
        <f t="shared" si="241"/>
        <v>160156</v>
      </c>
      <c r="O547" s="497">
        <f t="shared" ca="1" si="237"/>
        <v>32.849345806660693</v>
      </c>
      <c r="P547" s="497">
        <f t="shared" ca="1" si="238"/>
        <v>32.849345806660693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IFERROR(__xludf.DUMMYFUNCTION("IMPORTRANGE(""https://docs.google.com/spreadsheets/d/1QqKyyYR6Q21VydFLVH3TRQUabQu_ym0Zz7PgGX0-kHA/edit?usp=sharing"",""แผน!HB37"")"),487547)</f>
        <v>487547</v>
      </c>
      <c r="M549" s="93">
        <f ca="1">L549</f>
        <v>487547</v>
      </c>
      <c r="N549" s="93">
        <f>N550+N551+N552+N553+N554</f>
        <v>160156</v>
      </c>
      <c r="O549" s="93">
        <f t="shared" ca="1" si="237"/>
        <v>32.849345806660693</v>
      </c>
      <c r="P549" s="93">
        <f t="shared" ca="1" si="238"/>
        <v>32.849345806660693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f>12290</f>
        <v>12290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f>143000-104840+13000+13000</f>
        <v>64160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7600+52710+2280+6625+990+2841+2520+2380+5760</f>
        <v>83706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90157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IFERROR(__xludf.DUMMYFUNCTION("IMPORTRANGE(""https://docs.google.com/spreadsheets/d/1QqKyyYR6Q21VydFLVH3TRQUabQu_ym0Zz7PgGX0-kHA/edit?usp=sharing"",""แผน!HH37"")"),90157)</f>
        <v>90157</v>
      </c>
      <c r="J560" s="193">
        <f t="shared" ref="J560:J561" si="247">J562+J564+J566</f>
        <v>90157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IFERROR(__xludf.DUMMYFUNCTION("IMPORTRANGE(""https://docs.google.com/spreadsheets/d/1QqKyyYR6Q21VydFLVH3TRQUabQu_ym0Zz7PgGX0-kHA/edit?usp=sharing"",""แผน!HG37"")"),7894)</f>
        <v>7894</v>
      </c>
      <c r="J561" s="193">
        <f t="shared" si="247"/>
        <v>7894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74026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6762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13719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944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2412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IFERROR(__xludf.DUMMYFUNCTION("IMPORTRANGE(""https://docs.google.com/spreadsheets/d/1QqKyyYR6Q21VydFLVH3TRQUabQu_ym0Zz7PgGX0-kHA/edit?usp=sharing"",""แผน!HH37"")"),90157)</f>
        <v>90157</v>
      </c>
      <c r="J568" s="679">
        <f t="shared" ref="J568:J569" si="248">J570+J572+J574</f>
        <v>90157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IFERROR(__xludf.DUMMYFUNCTION("IMPORTRANGE(""https://docs.google.com/spreadsheets/d/1QqKyyYR6Q21VydFLVH3TRQUabQu_ym0Zz7PgGX0-kHA/edit?usp=sharing"",""แผน!HG37"")"),7894)</f>
        <v>7894</v>
      </c>
      <c r="J569" s="679">
        <f t="shared" si="248"/>
        <v>7894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76518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6950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11227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756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2412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IFERROR(__xludf.DUMMYFUNCTION("IMPORTRANGE(""https://docs.google.com/spreadsheets/d/1QqKyyYR6Q21VydFLVH3TRQUabQu_ym0Zz7PgGX0-kHA/edit?usp=sharing"",""แผน!HH37"")"),90157)</f>
        <v>90157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IFERROR(__xludf.DUMMYFUNCTION("IMPORTRANGE(""https://docs.google.com/spreadsheets/d/1QqKyyYR6Q21VydFLVH3TRQUabQu_ym0Zz7PgGX0-kHA/edit?usp=sharing"",""แผน!HG37"")"),7894)</f>
        <v>7894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6390.89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IFERROR(__xludf.DUMMYFUNCTION("IMPORTRANGE(""https://docs.google.com/spreadsheets/d/1QqKyyYR6Q21VydFLVH3TRQUabQu_ym0Zz7PgGX0-kHA/edit?usp=sharing"",""แผน!HJ37"")"),6390.89)</f>
        <v>6390.89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IFERROR(__xludf.DUMMYFUNCTION("IMPORTRANGE(""https://docs.google.com/spreadsheets/d/1QqKyyYR6Q21VydFLVH3TRQUabQu_ym0Zz7PgGX0-kHA/edit?usp=sharing"",""แผน!HI37"")"),339)</f>
        <v>339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IFERROR(__xludf.DUMMYFUNCTION("IMPORTRANGE(""https://docs.google.com/spreadsheets/d/1QqKyyYR6Q21VydFLVH3TRQUabQu_ym0Zz7PgGX0-kHA/edit?usp=sharing"",""แผน!HL37"")"),157)</f>
        <v>157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IFERROR(__xludf.DUMMYFUNCTION("IMPORTRANGE(""https://docs.google.com/spreadsheets/d/1QqKyyYR6Q21VydFLVH3TRQUabQu_ym0Zz7PgGX0-kHA/edit?usp=sharing"",""แผน!HK37"")"),9)</f>
        <v>9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52</v>
      </c>
      <c r="K628" s="740">
        <f ca="1">IF(I628&gt;0,J628*100/I628,0)</f>
        <v>52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358310</v>
      </c>
      <c r="M629" s="195">
        <f t="shared" ca="1" si="263"/>
        <v>358310</v>
      </c>
      <c r="N629" s="195">
        <f t="shared" si="263"/>
        <v>161550</v>
      </c>
      <c r="O629" s="195">
        <f t="shared" ref="O629:O634" ca="1" si="264">IF(L629&gt;0,N629*100/L629,0)</f>
        <v>45.086656805559429</v>
      </c>
      <c r="P629" s="195">
        <f t="shared" ref="P629:P634" ca="1" si="265">IF(M629&gt;0,N629*100/M629,0)</f>
        <v>45.086656805559429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358310</v>
      </c>
      <c r="M631" s="93">
        <f t="shared" ca="1" si="266"/>
        <v>358310</v>
      </c>
      <c r="N631" s="93">
        <f t="shared" si="266"/>
        <v>161550</v>
      </c>
      <c r="O631" s="93">
        <f t="shared" ca="1" si="264"/>
        <v>45.086656805559429</v>
      </c>
      <c r="P631" s="93">
        <f t="shared" ca="1" si="265"/>
        <v>45.086656805559429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358310</v>
      </c>
      <c r="M632" s="497">
        <f t="shared" ca="1" si="267"/>
        <v>358310</v>
      </c>
      <c r="N632" s="497">
        <f t="shared" si="267"/>
        <v>161550</v>
      </c>
      <c r="O632" s="497">
        <f t="shared" ca="1" si="264"/>
        <v>45.086656805559429</v>
      </c>
      <c r="P632" s="497">
        <f t="shared" ca="1" si="265"/>
        <v>45.086656805559429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IFERROR(__xludf.DUMMYFUNCTION("IMPORTRANGE(""https://docs.google.com/spreadsheets/d/1QqKyyYR6Q21VydFLVH3TRQUabQu_ym0Zz7PgGX0-kHA/edit?usp=sharing"",""แผน!HN37"")"),358310)</f>
        <v>358310</v>
      </c>
      <c r="M634" s="93">
        <f ca="1">L634</f>
        <v>358310</v>
      </c>
      <c r="N634" s="93">
        <f>N635+N636+N637+N638</f>
        <v>161550</v>
      </c>
      <c r="O634" s="93">
        <f t="shared" ca="1" si="264"/>
        <v>45.086656805559429</v>
      </c>
      <c r="P634" s="93">
        <f t="shared" ca="1" si="265"/>
        <v>45.086656805559429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f>1320+15000+7695</f>
        <v>24015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f>36900+13000+12160</f>
        <v>62060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26000+5280+13160+29250+1785</f>
        <v>75475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IFERROR(__xludf.DUMMYFUNCTION("IMPORTRANGE(""https://docs.google.com/spreadsheets/d/1QqKyyYR6Q21VydFLVH3TRQUabQu_ym0Zz7PgGX0-kHA/edit?usp=sharing"",""แผน!HR37"")"),0)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IFERROR(__xludf.DUMMYFUNCTION("IMPORTRANGE(""https://docs.google.com/spreadsheets/d/1XWAQStnk-4SwqDmLtmXYiTMKHgktTP8We1SCoS47DrQ/edit?usp=sharing"",""จัดที่ดิน!AS37"")"),146)</f>
        <v>146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IFERROR(__xludf.DUMMYFUNCTION("IMPORTRANGE(""https://docs.google.com/spreadsheets/d/1XWAQStnk-4SwqDmLtmXYiTMKHgktTP8We1SCoS47DrQ/edit?usp=sharing"",""จัดที่ดิน!AT37"")"),88.47)</f>
        <v>88.47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IFERROR(__xludf.DUMMYFUNCTION("IMPORTRANGE(""https://docs.google.com/spreadsheets/d/1QqKyyYR6Q21VydFLVH3TRQUabQu_ym0Zz7PgGX0-kHA/edit?usp=sharing"",""แผน!HS37"")"),100)</f>
        <v>100</v>
      </c>
      <c r="J647" s="270">
        <f ca="1">IFERROR(__xludf.DUMMYFUNCTION("IMPORTRANGE(""https://docs.google.com/spreadsheets/d/1XWAQStnk-4SwqDmLtmXYiTMKHgktTP8We1SCoS47DrQ/edit?usp=sharing"",""จัดที่ดิน!AU37"")"),53)</f>
        <v>53</v>
      </c>
      <c r="K647" s="163">
        <f t="shared" ca="1" si="271"/>
        <v>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IFERROR(__xludf.DUMMYFUNCTION("IMPORTRANGE(""https://docs.google.com/spreadsheets/d/1XWAQStnk-4SwqDmLtmXYiTMKHgktTP8We1SCoS47DrQ/edit?usp=sharing"",""จัดที่ดิน!AV37"")"),32.57)</f>
        <v>32.57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IFERROR(__xludf.DUMMYFUNCTION("IMPORTRANGE(""https://docs.google.com/spreadsheets/d/1QqKyyYR6Q21VydFLVH3TRQUabQu_ym0Zz7PgGX0-kHA/edit?usp=sharing"",""แผน!HS37"")"),100)</f>
        <v>100</v>
      </c>
      <c r="J649" s="270">
        <f ca="1">IFERROR(__xludf.DUMMYFUNCTION("IMPORTRANGE(""https://docs.google.com/spreadsheets/d/1XWAQStnk-4SwqDmLtmXYiTMKHgktTP8We1SCoS47DrQ/edit?usp=sharing"",""จัดที่ดิน!AW37"")"),52)</f>
        <v>52</v>
      </c>
      <c r="K649" s="163">
        <f t="shared" ca="1" si="271"/>
        <v>52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IFERROR(__xludf.DUMMYFUNCTION("IMPORTRANGE(""https://docs.google.com/spreadsheets/d/1XWAQStnk-4SwqDmLtmXYiTMKHgktTP8We1SCoS47DrQ/edit?usp=sharing"",""จัดที่ดิน!AX37"")"),29.13)</f>
        <v>29.13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IFERROR(__xludf.DUMMYFUNCTION("IMPORTRANGE(""https://docs.google.com/spreadsheets/d/1QqKyyYR6Q21VydFLVH3TRQUabQu_ym0Zz7PgGX0-kHA/edit?usp=sharing"",""แผน!HS37"")"),100)</f>
        <v>100</v>
      </c>
      <c r="J651" s="270">
        <f ca="1">IFERROR(__xludf.DUMMYFUNCTION("IMPORTRANGE(""https://docs.google.com/spreadsheets/d/1XWAQStnk-4SwqDmLtmXYiTMKHgktTP8We1SCoS47DrQ/edit?usp=sharing"",""จัดที่ดิน!AY37"")"),52)</f>
        <v>52</v>
      </c>
      <c r="K651" s="163">
        <f t="shared" ca="1" si="271"/>
        <v>52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IFERROR(__xludf.DUMMYFUNCTION("IMPORTRANGE(""https://docs.google.com/spreadsheets/d/1XWAQStnk-4SwqDmLtmXYiTMKHgktTP8We1SCoS47DrQ/edit?usp=sharing"",""จัดที่ดิน!AZ37"")"),29.13)</f>
        <v>29.13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IFERROR(__xludf.DUMMYFUNCTION("IMPORTRANGE(""https://docs.google.com/spreadsheets/d/1QqKyyYR6Q21VydFLVH3TRQUabQu_ym0Zz7PgGX0-kHA/edit?usp=sharing"",""แผน!IA37"")"),0)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IFERROR(__xludf.DUMMYFUNCTION("IMPORTRANGE(""https://docs.google.com/spreadsheets/d/1QqKyyYR6Q21VydFLVH3TRQUabQu_ym0Zz7PgGX0-kHA/edit?usp=sharing"",""แผน!IC37"")"),0)</f>
        <v>0</v>
      </c>
      <c r="J699" s="270">
        <f ca="1">IFERROR(__xludf.DUMMYFUNCTION("IMPORTRANGE(""https://docs.google.com/spreadsheets/d/1XWAQStnk-4SwqDmLtmXYiTMKHgktTP8We1SCoS47DrQ/edit?usp=sharing"",""จัดที่ดิน!BB37"")"),0)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IFERROR(__xludf.DUMMYFUNCTION("IMPORTRANGE(""https://docs.google.com/spreadsheets/d/1QqKyyYR6Q21VydFLVH3TRQUabQu_ym0Zz7PgGX0-kHA/edit?usp=sharing"",""แผน!ID37"")"),0)</f>
        <v>0</v>
      </c>
      <c r="J700" s="270">
        <f ca="1">IFERROR(__xludf.DUMMYFUNCTION("IMPORTRANGE(""https://docs.google.com/spreadsheets/d/1XWAQStnk-4SwqDmLtmXYiTMKHgktTP8We1SCoS47DrQ/edit?usp=sharing"",""จัดที่ดิน!BD37"")"),0)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IFERROR(__xludf.DUMMYFUNCTION("IMPORTRANGE(""https://docs.google.com/spreadsheets/d/1QqKyyYR6Q21VydFLVH3TRQUabQu_ym0Zz7PgGX0-kHA/edit?usp=sharing"",""แผน!IE37"")"),0)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IFERROR(__xludf.DUMMYFUNCTION("IMPORTRANGE(""https://docs.google.com/spreadsheets/d/1QqKyyYR6Q21VydFLVH3TRQUabQu_ym0Zz7PgGX0-kHA/edit?usp=sharing"",""แผน!IF37"")"),0)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IFERROR(__xludf.DUMMYFUNCTION("IMPORTRANGE(""https://docs.google.com/spreadsheets/d/1QqKyyYR6Q21VydFLVH3TRQUabQu_ym0Zz7PgGX0-kHA/edit?usp=sharing"",""แผน!IG37"")"),0)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IFERROR(__xludf.DUMMYFUNCTION("IMPORTRANGE(""https://docs.google.com/spreadsheets/d/1XWAQStnk-4SwqDmLtmXYiTMKHgktTP8We1SCoS47DrQ/edit?usp=sharing"",""จัดที่ดิน!BF37"")"),0)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IFERROR(__xludf.DUMMYFUNCTION("IMPORTRANGE(""https://docs.google.com/spreadsheets/d/1XWAQStnk-4SwqDmLtmXYiTMKHgktTP8We1SCoS47DrQ/edit?usp=sharing"",""จัดที่ดิน!BG37"")"),0)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IFERROR(__xludf.DUMMYFUNCTION("IMPORTRANGE(""https://docs.google.com/spreadsheets/d/1QqKyyYR6Q21VydFLVH3TRQUabQu_ym0Zz7PgGX0-kHA/edit?usp=sharing"",""แผน!II37"")"),0)</f>
        <v>0</v>
      </c>
      <c r="J720" s="270">
        <f ca="1">IFERROR(__xludf.DUMMYFUNCTION("IMPORTRANGE(""https://docs.google.com/spreadsheets/d/1XWAQStnk-4SwqDmLtmXYiTMKHgktTP8We1SCoS47DrQ/edit?usp=sharing"",""จัดที่ดิน!BH37"")"),0)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IFERROR(__xludf.DUMMYFUNCTION("IMPORTRANGE(""https://docs.google.com/spreadsheets/d/1QqKyyYR6Q21VydFLVH3TRQUabQu_ym0Zz7PgGX0-kHA/edit?usp=sharing"",""แผน!IJ37"")"),0)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IFERROR(__xludf.DUMMYFUNCTION("IMPORTRANGE(""https://docs.google.com/spreadsheets/d/1QqKyyYR6Q21VydFLVH3TRQUabQu_ym0Zz7PgGX0-kHA/edit?usp=sharing"",""แผน!IK37"")"),0)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IFERROR(__xludf.DUMMYFUNCTION("IMPORTRANGE(""https://docs.google.com/spreadsheets/d/1QqKyyYR6Q21VydFLVH3TRQUabQu_ym0Zz7PgGX0-kHA/edit?usp=sharing"",""แผน!IL37"")"),0)</f>
        <v>0</v>
      </c>
      <c r="J723" s="270">
        <f ca="1">IFERROR(__xludf.DUMMYFUNCTION("IMPORTRANGE(""https://docs.google.com/spreadsheets/d/1XWAQStnk-4SwqDmLtmXYiTMKHgktTP8We1SCoS47DrQ/edit?usp=sharing"",""จัดที่ดิน!BM37"")"),0)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IFERROR(__xludf.DUMMYFUNCTION("IMPORTRANGE(""https://docs.google.com/spreadsheets/d/1QqKyyYR6Q21VydFLVH3TRQUabQu_ym0Zz7PgGX0-kHA/edit?usp=sharing"",""แผน!IM37"")"),0)</f>
        <v>0</v>
      </c>
      <c r="J725" s="270">
        <f ca="1">IFERROR(__xludf.DUMMYFUNCTION("IMPORTRANGE(""https://docs.google.com/spreadsheets/d/1XWAQStnk-4SwqDmLtmXYiTMKHgktTP8We1SCoS47DrQ/edit?usp=sharing"",""จัดที่ดิน!BO37"")"),0)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IFERROR(__xludf.DUMMYFUNCTION("IMPORTRANGE(""https://docs.google.com/spreadsheets/d/1QqKyyYR6Q21VydFLVH3TRQUabQu_ym0Zz7PgGX0-kHA/edit?usp=sharing"",""แผน!IN37"")"),0)</f>
        <v>0</v>
      </c>
      <c r="J726" s="270">
        <f ca="1">IFERROR(__xludf.DUMMYFUNCTION("IMPORTRANGE(""https://docs.google.com/spreadsheets/d/1XWAQStnk-4SwqDmLtmXYiTMKHgktTP8We1SCoS47DrQ/edit?usp=sharing"",""จัดที่ดิน!BR37"")"),0)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IFERROR(__xludf.DUMMYFUNCTION("IMPORTRANGE(""https://docs.google.com/spreadsheets/d/1QqKyyYR6Q21VydFLVH3TRQUabQu_ym0Zz7PgGX0-kHA/edit?usp=sharing"",""แผน!IO37"")"),0)</f>
        <v>0</v>
      </c>
      <c r="J728" s="270">
        <f ca="1">IFERROR(__xludf.DUMMYFUNCTION("IMPORTRANGE(""https://docs.google.com/spreadsheets/d/1XWAQStnk-4SwqDmLtmXYiTMKHgktTP8We1SCoS47DrQ/edit?usp=sharing"",""จัดที่ดิน!BT37"")"),0)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IFERROR(__xludf.DUMMYFUNCTION("IMPORTRANGE(""https://docs.google.com/spreadsheets/d/1QqKyyYR6Q21VydFLVH3TRQUabQu_ym0Zz7PgGX0-kHA/edit?usp=sharing"",""แผน!IP37"")"),0)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253</v>
      </c>
      <c r="K785" s="806">
        <f ca="1">IF(I785&gt;0,J785*100/I785,0)</f>
        <v>8.4333333333333336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12000</v>
      </c>
      <c r="O786" s="195">
        <f t="shared" ref="O786:O791" ca="1" si="320">IF(L786&gt;0,N786*100/L786,0)</f>
        <v>5.6095736724008978</v>
      </c>
      <c r="P786" s="195">
        <f t="shared" ref="P786:P791" ca="1" si="321">IF(M786&gt;0,N786*100/M786,0)</f>
        <v>5.6095736724008978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12000</v>
      </c>
      <c r="O788" s="93">
        <f t="shared" ca="1" si="320"/>
        <v>5.6095736724008978</v>
      </c>
      <c r="P788" s="93">
        <f t="shared" ca="1" si="321"/>
        <v>5.6095736724008978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12000</v>
      </c>
      <c r="O789" s="497">
        <f t="shared" ca="1" si="320"/>
        <v>5.6095736724008978</v>
      </c>
      <c r="P789" s="497">
        <f t="shared" ca="1" si="321"/>
        <v>5.6095736724008978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IFERROR(__xludf.DUMMYFUNCTION("IMPORTRANGE(""https://docs.google.com/spreadsheets/d/1QqKyyYR6Q21VydFLVH3TRQUabQu_ym0Zz7PgGX0-kHA/edit?usp=sharing"",""แผน!JJ37"")"),213920)</f>
        <v>213920</v>
      </c>
      <c r="M791" s="93">
        <f ca="1">L791</f>
        <v>213920</v>
      </c>
      <c r="N791" s="93">
        <f>N792+N793+N794+N795</f>
        <v>12000</v>
      </c>
      <c r="O791" s="93">
        <f t="shared" ca="1" si="320"/>
        <v>5.6095736724008978</v>
      </c>
      <c r="P791" s="93">
        <f t="shared" ca="1" si="321"/>
        <v>5.6095736724008978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12000</f>
        <v>12000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IFERROR(__xludf.DUMMYFUNCTION("IMPORTRANGE(""https://docs.google.com/spreadsheets/d/1MaWodYyGHDf7siQLGxnXhG4mBNTNIuy296niS2xXulU/edit?usp=sharing"",""RTK!H37"")"),23)</f>
        <v>23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IFERROR(__xludf.DUMMYFUNCTION("IMPORTRANGE(""https://docs.google.com/spreadsheets/d/1MaWodYyGHDf7siQLGxnXhG4mBNTNIuy296niS2xXulU/edit?usp=sharing"",""RTK!G37"")"),3000)</f>
        <v>3000</v>
      </c>
      <c r="J801" s="820">
        <f ca="1">IFERROR(__xludf.DUMMYFUNCTION("IMPORTRANGE(""https://docs.google.com/spreadsheets/d/1MaWodYyGHDf7siQLGxnXhG4mBNTNIuy296niS2xXulU/edit?usp=sharing"",""RTK!I37"")"),253)</f>
        <v>253</v>
      </c>
      <c r="K801" s="821">
        <f ca="1">IF(I801&gt;0,J801*100/I801,0)</f>
        <v>8.4333333333333336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IFERROR(__xludf.DUMMYFUNCTION("IMPORTRANGE(""https://docs.google.com/spreadsheets/d/1MaWodYyGHDf7siQLGxnXhG4mBNTNIuy296niS2xXulU/edit?usp=sharing"",""RTK!L37"")"),0)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IFERROR(__xludf.DUMMYFUNCTION("IMPORTRANGE(""https://docs.google.com/spreadsheets/d/1MaWodYyGHDf7siQLGxnXhG4mBNTNIuy296niS2xXulU/edit?usp=sharing"",""RTK!K37"")"),0)</f>
        <v>0</v>
      </c>
      <c r="J803" s="820">
        <f ca="1">IFERROR(__xludf.DUMMYFUNCTION("IMPORTRANGE(""https://docs.google.com/spreadsheets/d/1MaWodYyGHDf7siQLGxnXhG4mBNTNIuy296niS2xXulU/edit?usp=sharing"",""RTK!M37"")"),0)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270">
        <f ca="1">IFERROR(__xludf.DUMMYFUNCTION("IMPORTRANGE(""https://docs.google.com/spreadsheets/d/19vJNZY_5yjcGF2XGBMNZRCAIB0Kwfpjp8YEOfu-bneM/edit?usp=sharing"",""งานกองทุน!F37"")"),1382236.37)</f>
        <v>1382236.37</v>
      </c>
      <c r="K821" s="497">
        <f t="shared" ref="K821:K828" ca="1" si="336">IF(I821&gt;0,J821*100/I821,0)</f>
        <v>33.458580077010225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IFERROR(__xludf.DUMMYFUNCTION("IMPORTRANGE(""https://docs.google.com/spreadsheets/d/19vJNZY_5yjcGF2XGBMNZRCAIB0Kwfpjp8YEOfu-bneM/edit?usp=sharing"",""งานกองทุน!C37"")"),278)</f>
        <v>278</v>
      </c>
      <c r="J822" s="270">
        <f ca="1">IFERROR(__xludf.DUMMYFUNCTION("IMPORTRANGE(""https://docs.google.com/spreadsheets/d/19vJNZY_5yjcGF2XGBMNZRCAIB0Kwfpjp8YEOfu-bneM/edit?usp=sharing"",""งานกองทุน!E37"")"),81)</f>
        <v>81</v>
      </c>
      <c r="K822" s="497">
        <f t="shared" ca="1" si="336"/>
        <v>29.136690647482013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270">
        <f ca="1">IFERROR(__xludf.DUMMYFUNCTION("IMPORTRANGE(""https://docs.google.com/spreadsheets/d/19vJNZY_5yjcGF2XGBMNZRCAIB0Kwfpjp8YEOfu-bneM/edit?usp=sharing"",""งานกองทุน!K37"")"),178617.9)</f>
        <v>178617.9</v>
      </c>
      <c r="K823" s="497">
        <f t="shared" ca="1" si="336"/>
        <v>16.492509157757581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IFERROR(__xludf.DUMMYFUNCTION("IMPORTRANGE(""https://docs.google.com/spreadsheets/d/19vJNZY_5yjcGF2XGBMNZRCAIB0Kwfpjp8YEOfu-bneM/edit?usp=sharing"",""งานกองทุน!H37"")"),55)</f>
        <v>55</v>
      </c>
      <c r="J824" s="270">
        <f ca="1">IFERROR(__xludf.DUMMYFUNCTION("IMPORTRANGE(""https://docs.google.com/spreadsheets/d/19vJNZY_5yjcGF2XGBMNZRCAIB0Kwfpjp8YEOfu-bneM/edit?usp=sharing"",""งานกองทุน!J37"")"),26)</f>
        <v>26</v>
      </c>
      <c r="K824" s="497">
        <f t="shared" ca="1" si="336"/>
        <v>47.272727272727273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IFERROR(__xludf.DUMMYFUNCTION("IMPORTRANGE(""https://docs.google.com/spreadsheets/d/19vJNZY_5yjcGF2XGBMNZRCAIB0Kwfpjp8YEOfu-bneM/edit?usp=sharing"",""งานกองทุน!N37"")"),5947.5)</f>
        <v>5947.5</v>
      </c>
      <c r="J825" s="270">
        <f ca="1">IFERROR(__xludf.DUMMYFUNCTION("IMPORTRANGE(""https://docs.google.com/spreadsheets/d/19vJNZY_5yjcGF2XGBMNZRCAIB0Kwfpjp8YEOfu-bneM/edit?usp=sharing"",""งานกองทุน!P37"")"),5947.5)</f>
        <v>5947.5</v>
      </c>
      <c r="K825" s="497">
        <f t="shared" ca="1" si="336"/>
        <v>100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IFERROR(__xludf.DUMMYFUNCTION("IMPORTRANGE(""https://docs.google.com/spreadsheets/d/19vJNZY_5yjcGF2XGBMNZRCAIB0Kwfpjp8YEOfu-bneM/edit?usp=sharing"",""งานกองทุน!M37"")"),2)</f>
        <v>2</v>
      </c>
      <c r="J826" s="270">
        <f ca="1">IFERROR(__xludf.DUMMYFUNCTION("IMPORTRANGE(""https://docs.google.com/spreadsheets/d/19vJNZY_5yjcGF2XGBMNZRCAIB0Kwfpjp8YEOfu-bneM/edit?usp=sharing"",""งานกองทุน!O37"")"),2)</f>
        <v>2</v>
      </c>
      <c r="K826" s="497">
        <f t="shared" ca="1" si="336"/>
        <v>100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IFERROR(__xludf.DUMMYFUNCTION("IMPORTRANGE(""https://docs.google.com/spreadsheets/d/19vJNZY_5yjcGF2XGBMNZRCAIB0Kwfpjp8YEOfu-bneM/edit?usp=sharing"",""งานกองทุน!S37"")"),2800000)</f>
        <v>2800000</v>
      </c>
      <c r="J827" s="270">
        <f ca="1">IFERROR(__xludf.DUMMYFUNCTION("IMPORTRANGE(""https://docs.google.com/spreadsheets/d/19vJNZY_5yjcGF2XGBMNZRCAIB0Kwfpjp8YEOfu-bneM/edit?usp=sharing"",""งานกองทุน!U37"")"),0)</f>
        <v>0</v>
      </c>
      <c r="K827" s="497">
        <f t="shared" ca="1" si="336"/>
        <v>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IFERROR(__xludf.DUMMYFUNCTION("IMPORTRANGE(""https://docs.google.com/spreadsheets/d/19vJNZY_5yjcGF2XGBMNZRCAIB0Kwfpjp8YEOfu-bneM/edit?usp=sharing"",""งานกองทุน!R37"")"),112)</f>
        <v>112</v>
      </c>
      <c r="J828" s="504">
        <f ca="1">IFERROR(__xludf.DUMMYFUNCTION("IMPORTRANGE(""https://docs.google.com/spreadsheets/d/19vJNZY_5yjcGF2XGBMNZRCAIB0Kwfpjp8YEOfu-bneM/edit?usp=sharing"",""งานกองทุน!T37"")"),0)</f>
        <v>0</v>
      </c>
      <c r="K828" s="505">
        <f t="shared" ca="1" si="336"/>
        <v>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01A0E-7AAA-448C-B2DF-4A64F884693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342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7753735</v>
      </c>
      <c r="M8" s="22">
        <f t="shared" ca="1" si="0"/>
        <v>6921649</v>
      </c>
      <c r="N8" s="22">
        <f t="shared" ca="1" si="0"/>
        <v>4345731.1500000004</v>
      </c>
      <c r="O8" s="22">
        <f t="shared" ref="O8:O16" ca="1" si="1">IF(L8&gt;0,N8*100/L8,0)</f>
        <v>56.046939313762991</v>
      </c>
      <c r="P8" s="22">
        <f t="shared" ref="P8:P16" ca="1" si="2">IF(M8&gt;0,N8*100/M8,0)</f>
        <v>62.784621843725397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7753735</v>
      </c>
      <c r="M10" s="30">
        <f t="shared" ca="1" si="3"/>
        <v>6921649</v>
      </c>
      <c r="N10" s="30">
        <f t="shared" ca="1" si="3"/>
        <v>4345731.1500000004</v>
      </c>
      <c r="O10" s="30">
        <f t="shared" ca="1" si="1"/>
        <v>56.046939313762991</v>
      </c>
      <c r="P10" s="30">
        <f t="shared" ca="1" si="2"/>
        <v>62.784621843725397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7639935</v>
      </c>
      <c r="M11" s="497">
        <f t="shared" ca="1" si="4"/>
        <v>6807849</v>
      </c>
      <c r="N11" s="497">
        <f t="shared" ca="1" si="4"/>
        <v>4231931.1500000004</v>
      </c>
      <c r="O11" s="497">
        <f t="shared" ca="1" si="1"/>
        <v>55.392240248117304</v>
      </c>
      <c r="P11" s="497">
        <f t="shared" ca="1" si="2"/>
        <v>62.162529603697152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7639935</v>
      </c>
      <c r="M13" s="93">
        <f t="shared" ca="1" si="5"/>
        <v>6807849</v>
      </c>
      <c r="N13" s="93">
        <f t="shared" ca="1" si="5"/>
        <v>4231931.1500000004</v>
      </c>
      <c r="O13" s="93">
        <f t="shared" ca="1" si="1"/>
        <v>55.392240248117304</v>
      </c>
      <c r="P13" s="93">
        <f t="shared" ca="1" si="2"/>
        <v>62.162529603697152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4659702</v>
      </c>
      <c r="M18" s="22">
        <f t="shared" ca="1" si="8"/>
        <v>3827616</v>
      </c>
      <c r="N18" s="22">
        <f t="shared" ca="1" si="8"/>
        <v>2996322.45</v>
      </c>
      <c r="O18" s="22">
        <f t="shared" ref="O18:O26" ca="1" si="9">IF(L18&gt;0,N18*100/L18,0)</f>
        <v>64.302877093857077</v>
      </c>
      <c r="P18" s="22">
        <f t="shared" ref="P18:P26" ca="1" si="10">IF(M18&gt;0,N18*100/M18,0)</f>
        <v>78.2816889155025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4659702</v>
      </c>
      <c r="M20" s="30">
        <f t="shared" ca="1" si="11"/>
        <v>3827616</v>
      </c>
      <c r="N20" s="30">
        <f t="shared" ca="1" si="11"/>
        <v>2996322.45</v>
      </c>
      <c r="O20" s="30">
        <f t="shared" ca="1" si="9"/>
        <v>64.302877093857077</v>
      </c>
      <c r="P20" s="30">
        <f t="shared" ca="1" si="10"/>
        <v>78.2816889155025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4545902</v>
      </c>
      <c r="M21" s="497">
        <f t="shared" ca="1" si="12"/>
        <v>3713816</v>
      </c>
      <c r="N21" s="497">
        <f t="shared" ca="1" si="12"/>
        <v>2882522.45</v>
      </c>
      <c r="O21" s="497">
        <f t="shared" ca="1" si="9"/>
        <v>63.409251893243628</v>
      </c>
      <c r="P21" s="497">
        <f t="shared" ca="1" si="10"/>
        <v>77.616189116531359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4545902</v>
      </c>
      <c r="M23" s="93">
        <f t="shared" ca="1" si="13"/>
        <v>3713816</v>
      </c>
      <c r="N23" s="93">
        <f t="shared" ca="1" si="13"/>
        <v>2882522.45</v>
      </c>
      <c r="O23" s="93">
        <f t="shared" ca="1" si="9"/>
        <v>63.409251893243628</v>
      </c>
      <c r="P23" s="93">
        <f t="shared" ca="1" si="10"/>
        <v>77.616189116531359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3094033</v>
      </c>
      <c r="M28" s="22">
        <f t="shared" ca="1" si="16"/>
        <v>3094033</v>
      </c>
      <c r="N28" s="22">
        <f t="shared" si="16"/>
        <v>1349408.7</v>
      </c>
      <c r="O28" s="22">
        <f t="shared" ref="O28:O37" ca="1" si="17">IF(L28&gt;0,N28*100/L28,0)</f>
        <v>43.613261397018064</v>
      </c>
      <c r="P28" s="22">
        <f t="shared" ref="P28:P37" ca="1" si="18">IF(M28&gt;0,N28*100/M28,0)</f>
        <v>43.613261397018064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3094033</v>
      </c>
      <c r="M30" s="30">
        <f t="shared" ca="1" si="19"/>
        <v>3094033</v>
      </c>
      <c r="N30" s="30">
        <f t="shared" si="19"/>
        <v>1349408.7</v>
      </c>
      <c r="O30" s="30">
        <f t="shared" ca="1" si="17"/>
        <v>43.613261397018064</v>
      </c>
      <c r="P30" s="30">
        <f t="shared" ca="1" si="18"/>
        <v>43.613261397018064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3094033</v>
      </c>
      <c r="M31" s="497">
        <f t="shared" ca="1" si="20"/>
        <v>3094033</v>
      </c>
      <c r="N31" s="497">
        <f t="shared" si="20"/>
        <v>1349408.7</v>
      </c>
      <c r="O31" s="497">
        <f t="shared" ca="1" si="17"/>
        <v>43.613261397018064</v>
      </c>
      <c r="P31" s="497">
        <f t="shared" ca="1" si="18"/>
        <v>43.613261397018064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3094033</v>
      </c>
      <c r="M33" s="93">
        <f t="shared" ca="1" si="21"/>
        <v>3094033</v>
      </c>
      <c r="N33" s="93">
        <f t="shared" si="21"/>
        <v>1349408.7</v>
      </c>
      <c r="O33" s="93">
        <f t="shared" ca="1" si="17"/>
        <v>43.613261397018064</v>
      </c>
      <c r="P33" s="93">
        <f t="shared" ca="1" si="18"/>
        <v>43.613261397018064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4659702</v>
      </c>
      <c r="M37" s="870">
        <f t="shared" ca="1" si="24"/>
        <v>3827616</v>
      </c>
      <c r="N37" s="870">
        <f t="shared" ca="1" si="24"/>
        <v>2996322.45</v>
      </c>
      <c r="O37" s="870">
        <f t="shared" ca="1" si="17"/>
        <v>64.302877093857077</v>
      </c>
      <c r="P37" s="870">
        <f t="shared" ca="1" si="18"/>
        <v>78.2816889155025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786592</v>
      </c>
      <c r="M41" s="85">
        <f t="shared" ca="1" si="25"/>
        <v>797971</v>
      </c>
      <c r="N41" s="85">
        <f t="shared" ca="1" si="25"/>
        <v>531850.23</v>
      </c>
      <c r="O41" s="85">
        <f t="shared" ref="O41:O49" ca="1" si="26">IF(L41&gt;0,N41*100/L41,0)</f>
        <v>67.614497731988124</v>
      </c>
      <c r="P41" s="85">
        <f t="shared" ref="P41:P49" ca="1" si="27">IF(M41&gt;0,N41*100/M41,0)</f>
        <v>66.650320625686902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786592</v>
      </c>
      <c r="M43" s="92">
        <f t="shared" ca="1" si="28"/>
        <v>797971</v>
      </c>
      <c r="N43" s="92">
        <f t="shared" ca="1" si="28"/>
        <v>531850.23</v>
      </c>
      <c r="O43" s="92">
        <f t="shared" ca="1" si="26"/>
        <v>67.614497731988124</v>
      </c>
      <c r="P43" s="92">
        <f t="shared" ca="1" si="27"/>
        <v>66.650320625686902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786592</v>
      </c>
      <c r="M44" s="497">
        <f t="shared" ca="1" si="29"/>
        <v>797971</v>
      </c>
      <c r="N44" s="497">
        <f t="shared" ca="1" si="29"/>
        <v>531850.23</v>
      </c>
      <c r="O44" s="497">
        <f t="shared" ca="1" si="26"/>
        <v>67.614497731988124</v>
      </c>
      <c r="P44" s="497">
        <f t="shared" ca="1" si="27"/>
        <v>66.650320625686902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IFERROR(__xludf.DUMMYFUNCTION("IMPORTRANGE(""https://docs.google.com/spreadsheets/d/1MeEWN-I1oV_STSDYn1IFDPWt_1FKiwhDph83XaGc0o0/edit?usp=sharing"",""งบพรบ!M38"")"),786592)</f>
        <v>786592</v>
      </c>
      <c r="M46" s="93">
        <f ca="1">IFERROR(__xludf.DUMMYFUNCTION("IMPORTRANGE(""https://docs.google.com/spreadsheets/d/1MeEWN-I1oV_STSDYn1IFDPWt_1FKiwhDph83XaGc0o0/edit?usp=sharing"",""งบพรบ!R38"")"),797971)</f>
        <v>797971</v>
      </c>
      <c r="N46" s="93">
        <f ca="1">IFERROR(__xludf.DUMMYFUNCTION("IMPORTRANGE(""https://docs.google.com/spreadsheets/d/1MeEWN-I1oV_STSDYn1IFDPWt_1FKiwhDph83XaGc0o0/edit?usp=sharing"",""งบพรบ!T38"")"),531850.23)</f>
        <v>531850.23</v>
      </c>
      <c r="O46" s="93">
        <f t="shared" ca="1" si="26"/>
        <v>67.614497731988124</v>
      </c>
      <c r="P46" s="93">
        <f t="shared" ca="1" si="27"/>
        <v>66.650320625686902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IFERROR(__xludf.DUMMYFUNCTION("IMPORTRANGE(""https://docs.google.com/spreadsheets/d/1MeEWN-I1oV_STSDYn1IFDPWt_1FKiwhDph83XaGc0o0/edit?usp=sharing"",""งบพรบ!P38"")"),0)</f>
        <v>0</v>
      </c>
      <c r="M49" s="52">
        <f ca="1">IFERROR(__xludf.DUMMYFUNCTION("IMPORTRANGE(""https://docs.google.com/spreadsheets/d/1MeEWN-I1oV_STSDYn1IFDPWt_1FKiwhDph83XaGc0o0/edit?usp=sharing"",""งบพรบ!S38"")"),0)</f>
        <v>0</v>
      </c>
      <c r="N49" s="52">
        <f ca="1">IFERROR(__xludf.DUMMYFUNCTION("IMPORTRANGE(""https://docs.google.com/spreadsheets/d/1MeEWN-I1oV_STSDYn1IFDPWt_1FKiwhDph83XaGc0o0/edit?usp=sharing"",""งบพรบ!U38"")"),0)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726300</v>
      </c>
      <c r="M53" s="116">
        <f t="shared" ca="1" si="31"/>
        <v>547725</v>
      </c>
      <c r="N53" s="116">
        <f t="shared" ca="1" si="31"/>
        <v>427543.53</v>
      </c>
      <c r="O53" s="116">
        <f t="shared" ref="O53:O61" ca="1" si="32">IF(L53&gt;0,N53*100/L53,0)</f>
        <v>58.865968608013219</v>
      </c>
      <c r="P53" s="116">
        <f t="shared" ref="P53:P61" ca="1" si="33">IF(M53&gt;0,N53*100/M53,0)</f>
        <v>78.058063809393403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726300</v>
      </c>
      <c r="M55" s="123">
        <f t="shared" ca="1" si="34"/>
        <v>547725</v>
      </c>
      <c r="N55" s="123">
        <f t="shared" ca="1" si="34"/>
        <v>427543.53</v>
      </c>
      <c r="O55" s="123">
        <f t="shared" ca="1" si="32"/>
        <v>58.865968608013219</v>
      </c>
      <c r="P55" s="123">
        <f t="shared" ca="1" si="33"/>
        <v>78.058063809393403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726300</v>
      </c>
      <c r="M56" s="497">
        <f t="shared" ca="1" si="35"/>
        <v>547725</v>
      </c>
      <c r="N56" s="497">
        <f t="shared" ca="1" si="35"/>
        <v>427543.53</v>
      </c>
      <c r="O56" s="497">
        <f t="shared" ca="1" si="32"/>
        <v>58.865968608013219</v>
      </c>
      <c r="P56" s="497">
        <f t="shared" ca="1" si="33"/>
        <v>78.058063809393403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IFERROR(__xludf.DUMMYFUNCTION("IMPORTRANGE(""https://docs.google.com/spreadsheets/d/1MeEWN-I1oV_STSDYn1IFDPWt_1FKiwhDph83XaGc0o0/edit?usp=sharing"",""งบพรบ!W38"")"),726300)</f>
        <v>726300</v>
      </c>
      <c r="M58" s="93">
        <f ca="1">IFERROR(__xludf.DUMMYFUNCTION("IMPORTRANGE(""https://docs.google.com/spreadsheets/d/1MeEWN-I1oV_STSDYn1IFDPWt_1FKiwhDph83XaGc0o0/edit?usp=sharing"",""งบพรบ!AB38"")"),547725)</f>
        <v>547725</v>
      </c>
      <c r="N58" s="93">
        <f ca="1">IFERROR(__xludf.DUMMYFUNCTION("IMPORTRANGE(""https://docs.google.com/spreadsheets/d/1MeEWN-I1oV_STSDYn1IFDPWt_1FKiwhDph83XaGc0o0/edit?usp=sharing"",""งบพรบ!AD38"")"),427543.53)</f>
        <v>427543.53</v>
      </c>
      <c r="O58" s="93">
        <f t="shared" ca="1" si="32"/>
        <v>58.865968608013219</v>
      </c>
      <c r="P58" s="93">
        <f t="shared" ca="1" si="33"/>
        <v>78.058063809393403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IFERROR(__xludf.DUMMYFUNCTION("IMPORTRANGE(""https://docs.google.com/spreadsheets/d/1MeEWN-I1oV_STSDYn1IFDPWt_1FKiwhDph83XaGc0o0/edit?usp=sharing"",""งบพรบ!Z38"")"),0)</f>
        <v>0</v>
      </c>
      <c r="M61" s="52">
        <f ca="1">IFERROR(__xludf.DUMMYFUNCTION("IMPORTRANGE(""https://docs.google.com/spreadsheets/d/1MeEWN-I1oV_STSDYn1IFDPWt_1FKiwhDph83XaGc0o0/edit?usp=sharing"",""งบพรบ!AC38"")"),0)</f>
        <v>0</v>
      </c>
      <c r="N61" s="52">
        <f ca="1">IFERROR(__xludf.DUMMYFUNCTION("IMPORTRANGE(""https://docs.google.com/spreadsheets/d/1MeEWN-I1oV_STSDYn1IFDPWt_1FKiwhDph83XaGc0o0/edit?usp=sharing"",""งบพรบ!AE38"")"),0)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63</v>
      </c>
      <c r="J65" s="144">
        <f t="shared" si="37"/>
        <v>63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855000</v>
      </c>
      <c r="M66" s="155">
        <f t="shared" ca="1" si="39"/>
        <v>649320</v>
      </c>
      <c r="N66" s="155">
        <f t="shared" ca="1" si="39"/>
        <v>554495.09</v>
      </c>
      <c r="O66" s="155">
        <f t="shared" ref="O66:O74" ca="1" si="40">IF(L66&gt;0,N66*100/L66,0)</f>
        <v>64.853226900584801</v>
      </c>
      <c r="P66" s="155">
        <f t="shared" ref="P66:P74" ca="1" si="41">IF(M66&gt;0,N66*100/M66,0)</f>
        <v>85.396274564159427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855000</v>
      </c>
      <c r="M68" s="93">
        <f t="shared" ca="1" si="42"/>
        <v>649320</v>
      </c>
      <c r="N68" s="93">
        <f t="shared" ca="1" si="42"/>
        <v>554495.09</v>
      </c>
      <c r="O68" s="93">
        <f t="shared" ca="1" si="40"/>
        <v>64.853226900584801</v>
      </c>
      <c r="P68" s="93">
        <f t="shared" ca="1" si="41"/>
        <v>85.396274564159427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855000</v>
      </c>
      <c r="M69" s="497">
        <f t="shared" ca="1" si="43"/>
        <v>649320</v>
      </c>
      <c r="N69" s="497">
        <f t="shared" ca="1" si="43"/>
        <v>554495.09</v>
      </c>
      <c r="O69" s="497">
        <f t="shared" ca="1" si="40"/>
        <v>64.853226900584801</v>
      </c>
      <c r="P69" s="497">
        <f t="shared" ca="1" si="41"/>
        <v>85.396274564159427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IFERROR(__xludf.DUMMYFUNCTION("IMPORTRANGE(""https://docs.google.com/spreadsheets/d/1MeEWN-I1oV_STSDYn1IFDPWt_1FKiwhDph83XaGc0o0/edit?usp=sharing"",""งบพรบ!AG38"")"),855000)</f>
        <v>855000</v>
      </c>
      <c r="M71" s="93">
        <f ca="1">IFERROR(__xludf.DUMMYFUNCTION("IMPORTRANGE(""https://docs.google.com/spreadsheets/d/1MeEWN-I1oV_STSDYn1IFDPWt_1FKiwhDph83XaGc0o0/edit?usp=sharing"",""งบพรบ!AL38"")"),649320)</f>
        <v>649320</v>
      </c>
      <c r="N71" s="93">
        <f ca="1">IFERROR(__xludf.DUMMYFUNCTION("IMPORTRANGE(""https://docs.google.com/spreadsheets/d/1MeEWN-I1oV_STSDYn1IFDPWt_1FKiwhDph83XaGc0o0/edit?usp=sharing"",""งบพรบ!AN38"")"),554495.09)</f>
        <v>554495.09</v>
      </c>
      <c r="O71" s="93">
        <f t="shared" ca="1" si="40"/>
        <v>64.853226900584801</v>
      </c>
      <c r="P71" s="93">
        <f t="shared" ca="1" si="41"/>
        <v>85.396274564159427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IFERROR(__xludf.DUMMYFUNCTION("IMPORTRANGE(""https://docs.google.com/spreadsheets/d/1MeEWN-I1oV_STSDYn1IFDPWt_1FKiwhDph83XaGc0o0/edit?usp=sharing"",""งบพรบ!AJ38"")"),0)</f>
        <v>0</v>
      </c>
      <c r="M74" s="93">
        <f ca="1">IFERROR(__xludf.DUMMYFUNCTION("IMPORTRANGE(""https://docs.google.com/spreadsheets/d/1MeEWN-I1oV_STSDYn1IFDPWt_1FKiwhDph83XaGc0o0/edit?usp=sharing"",""งบพรบ!AM38"")"),0)</f>
        <v>0</v>
      </c>
      <c r="N74" s="93">
        <f ca="1">IFERROR(__xludf.DUMMYFUNCTION("IMPORTRANGE(""https://docs.google.com/spreadsheets/d/1MeEWN-I1oV_STSDYn1IFDPWt_1FKiwhDph83XaGc0o0/edit?usp=sharing"",""งบพรบ!AO38"")"),0)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63</v>
      </c>
      <c r="J77" s="270">
        <f t="shared" si="45"/>
        <v>63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IFERROR(__xludf.DUMMYFUNCTION("IMPORTRANGE(""https://docs.google.com/spreadsheets/d/1QqKyyYR6Q21VydFLVH3TRQUabQu_ym0Zz7PgGX0-kHA/edit?usp=sharing"",""แผน!G38"")"),63)</f>
        <v>63</v>
      </c>
      <c r="J81" s="215">
        <v>63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29065</v>
      </c>
      <c r="O88" s="155">
        <f t="shared" ref="O88:O96" ca="1" si="50">IF(L88&gt;0,N88*100/L88,0)</f>
        <v>93.157051282051285</v>
      </c>
      <c r="P88" s="155">
        <f t="shared" ref="P88:P96" ca="1" si="51">IF(M88&gt;0,N88*100/M88,0)</f>
        <v>99.028960817717206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29065</v>
      </c>
      <c r="O90" s="93">
        <f t="shared" ca="1" si="50"/>
        <v>93.157051282051285</v>
      </c>
      <c r="P90" s="93">
        <f t="shared" ca="1" si="51"/>
        <v>99.028960817717206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29065</v>
      </c>
      <c r="O91" s="497">
        <f t="shared" ca="1" si="50"/>
        <v>93.157051282051285</v>
      </c>
      <c r="P91" s="497">
        <f t="shared" ca="1" si="51"/>
        <v>99.028960817717206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IFERROR(__xludf.DUMMYFUNCTION("IMPORTRANGE(""https://docs.google.com/spreadsheets/d/1MeEWN-I1oV_STSDYn1IFDPWt_1FKiwhDph83XaGc0o0/edit?usp=sharing"",""งบพรบ!AQ38"")"),31200)</f>
        <v>31200</v>
      </c>
      <c r="M93" s="93">
        <f ca="1">IFERROR(__xludf.DUMMYFUNCTION("IMPORTRANGE(""https://docs.google.com/spreadsheets/d/1MeEWN-I1oV_STSDYn1IFDPWt_1FKiwhDph83XaGc0o0/edit?usp=sharing"",""งบพรบ!AV38"")"),29350)</f>
        <v>29350</v>
      </c>
      <c r="N93" s="93">
        <f ca="1">IFERROR(__xludf.DUMMYFUNCTION("IMPORTRANGE(""https://docs.google.com/spreadsheets/d/1MeEWN-I1oV_STSDYn1IFDPWt_1FKiwhDph83XaGc0o0/edit?usp=sharing"",""งบพรบ!AX38"")"),29065)</f>
        <v>29065</v>
      </c>
      <c r="O93" s="93">
        <f t="shared" ca="1" si="50"/>
        <v>93.157051282051285</v>
      </c>
      <c r="P93" s="93">
        <f t="shared" ca="1" si="51"/>
        <v>99.028960817717206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IFERROR(__xludf.DUMMYFUNCTION("IMPORTRANGE(""https://docs.google.com/spreadsheets/d/1MeEWN-I1oV_STSDYn1IFDPWt_1FKiwhDph83XaGc0o0/edit?usp=sharing"",""งบพรบ!AT38"")"),0)</f>
        <v>0</v>
      </c>
      <c r="M96" s="93">
        <f ca="1">IFERROR(__xludf.DUMMYFUNCTION("IMPORTRANGE(""https://docs.google.com/spreadsheets/d/1MeEWN-I1oV_STSDYn1IFDPWt_1FKiwhDph83XaGc0o0/edit?usp=sharing"",""งบพรบ!AW38"")"),0)</f>
        <v>0</v>
      </c>
      <c r="N96" s="93">
        <f ca="1">IFERROR(__xludf.DUMMYFUNCTION("IMPORTRANGE(""https://docs.google.com/spreadsheets/d/1MeEWN-I1oV_STSDYn1IFDPWt_1FKiwhDph83XaGc0o0/edit?usp=sharing"",""งบพรบ!AY38"")"),0)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IFERROR(__xludf.DUMMYFUNCTION("IMPORTRANGE(""https://docs.google.com/spreadsheets/d/1QqKyyYR6Q21VydFLVH3TRQUabQu_ym0Zz7PgGX0-kHA/edit?usp=sharing"",""แผน!K38"")"),0)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IFERROR(__xludf.DUMMYFUNCTION("IMPORTRANGE(""https://docs.google.com/spreadsheets/d/1QqKyyYR6Q21VydFLVH3TRQUabQu_ym0Zz7PgGX0-kHA/edit?usp=sharing"",""แผน!L38"")"),0)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IFERROR(__xludf.DUMMYFUNCTION("IMPORTRANGE(""https://docs.google.com/spreadsheets/d/1QqKyyYR6Q21VydFLVH3TRQUabQu_ym0Zz7PgGX0-kHA/edit?usp=sharing"",""แผน!M38"")"),1)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IFERROR(__xludf.DUMMYFUNCTION("IMPORTRANGE(""https://docs.google.com/spreadsheets/d/1QqKyyYR6Q21VydFLVH3TRQUabQu_ym0Zz7PgGX0-kHA/edit?usp=sharing"",""แผน!N38"")"),0)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IFERROR(__xludf.DUMMYFUNCTION("IMPORTRANGE(""https://docs.google.com/spreadsheets/d/1QqKyyYR6Q21VydFLVH3TRQUabQu_ym0Zz7PgGX0-kHA/edit?usp=sharing"",""แผน!O38"")"),0)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IFERROR(__xludf.DUMMYFUNCTION("IMPORTRANGE(""https://docs.google.com/spreadsheets/d/1QqKyyYR6Q21VydFLVH3TRQUabQu_ym0Zz7PgGX0-kHA/edit?usp=sharing"",""แผน!O38"")"),0)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IFERROR(__xludf.DUMMYFUNCTION("IMPORTRANGE(""https://docs.google.com/spreadsheets/d/1QqKyyYR6Q21VydFLVH3TRQUabQu_ym0Zz7PgGX0-kHA/edit?usp=sharing"",""แผน!P38"")"),0)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IFERROR(__xludf.DUMMYFUNCTION("IMPORTRANGE(""https://docs.google.com/spreadsheets/d/1QqKyyYR6Q21VydFLVH3TRQUabQu_ym0Zz7PgGX0-kHA/edit?usp=sharing"",""แผน!P38"")"),0)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IFERROR(__xludf.DUMMYFUNCTION("IMPORTRANGE(""https://docs.google.com/spreadsheets/d/1QqKyyYR6Q21VydFLVH3TRQUabQu_ym0Zz7PgGX0-kHA/edit?usp=sharing"",""แผน!R38"")"),0)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IFERROR(__xludf.DUMMYFUNCTION("IMPORTRANGE(""https://docs.google.com/spreadsheets/d/1QqKyyYR6Q21VydFLVH3TRQUabQu_ym0Zz7PgGX0-kHA/edit?usp=sharing"",""แผน!R38"")"),0)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IFERROR(__xludf.DUMMYFUNCTION("IMPORTRANGE(""https://docs.google.com/spreadsheets/d/1QqKyyYR6Q21VydFLVH3TRQUabQu_ym0Zz7PgGX0-kHA/edit?usp=sharing"",""แผน!R38"")"),0)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IFERROR(__xludf.DUMMYFUNCTION("IMPORTRANGE(""https://docs.google.com/spreadsheets/d/1QqKyyYR6Q21VydFLVH3TRQUabQu_ym0Zz7PgGX0-kHA/edit?usp=sharing"",""แผน!S38"")"),0)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IFERROR(__xludf.DUMMYFUNCTION("IMPORTRANGE(""https://docs.google.com/spreadsheets/d/1MeEWN-I1oV_STSDYn1IFDPWt_1FKiwhDph83XaGc0o0/edit?usp=sharing"",""งบพรบ!BA38"")"),0)</f>
        <v>0</v>
      </c>
      <c r="M124" s="93">
        <f ca="1">IFERROR(__xludf.DUMMYFUNCTION("IMPORTRANGE(""https://docs.google.com/spreadsheets/d/1MeEWN-I1oV_STSDYn1IFDPWt_1FKiwhDph83XaGc0o0/edit?usp=sharing"",""งบพรบ!BF38"")"),0)</f>
        <v>0</v>
      </c>
      <c r="N124" s="93">
        <f ca="1">IFERROR(__xludf.DUMMYFUNCTION("IMPORTRANGE(""https://docs.google.com/spreadsheets/d/1MeEWN-I1oV_STSDYn1IFDPWt_1FKiwhDph83XaGc0o0/edit?usp=sharing"",""งบพรบ!BH38"")"),0)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IFERROR(__xludf.DUMMYFUNCTION("IMPORTRANGE(""https://docs.google.com/spreadsheets/d/1MeEWN-I1oV_STSDYn1IFDPWt_1FKiwhDph83XaGc0o0/edit?usp=sharing"",""งบพรบ!BD38"")"),0)</f>
        <v>0</v>
      </c>
      <c r="M127" s="93">
        <f ca="1">IFERROR(__xludf.DUMMYFUNCTION("IMPORTRANGE(""https://docs.google.com/spreadsheets/d/1MeEWN-I1oV_STSDYn1IFDPWt_1FKiwhDph83XaGc0o0/edit?usp=sharing"",""งบพรบ!BG38"")"),0)</f>
        <v>0</v>
      </c>
      <c r="N127" s="93">
        <f ca="1">IFERROR(__xludf.DUMMYFUNCTION("IMPORTRANGE(""https://docs.google.com/spreadsheets/d/1MeEWN-I1oV_STSDYn1IFDPWt_1FKiwhDph83XaGc0o0/edit?usp=sharing"",""งบพรบ!BI38"")"),0)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IFERROR(__xludf.DUMMYFUNCTION("IMPORTRANGE(""https://docs.google.com/spreadsheets/d/1MeEWN-I1oV_STSDYn1IFDPWt_1FKiwhDph83XaGc0o0/edit?usp=sharing"",""งบพรบ!BK38"")"),0)</f>
        <v>0</v>
      </c>
      <c r="M137" s="93">
        <f ca="1">IFERROR(__xludf.DUMMYFUNCTION("IMPORTRANGE(""https://docs.google.com/spreadsheets/d/1MeEWN-I1oV_STSDYn1IFDPWt_1FKiwhDph83XaGc0o0/edit?usp=sharing"",""งบพรบ!BP38"")"),0)</f>
        <v>0</v>
      </c>
      <c r="N137" s="93">
        <f ca="1">IFERROR(__xludf.DUMMYFUNCTION("IMPORTRANGE(""https://docs.google.com/spreadsheets/d/1MeEWN-I1oV_STSDYn1IFDPWt_1FKiwhDph83XaGc0o0/edit?usp=sharing"",""งบพรบ!BR38"")"),0)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IFERROR(__xludf.DUMMYFUNCTION("IMPORTRANGE(""https://docs.google.com/spreadsheets/d/1MeEWN-I1oV_STSDYn1IFDPWt_1FKiwhDph83XaGc0o0/edit?usp=sharing"",""งบพรบ!BN38"")"),0)</f>
        <v>0</v>
      </c>
      <c r="M140" s="93">
        <f ca="1">IFERROR(__xludf.DUMMYFUNCTION("IMPORTRANGE(""https://docs.google.com/spreadsheets/d/1MeEWN-I1oV_STSDYn1IFDPWt_1FKiwhDph83XaGc0o0/edit?usp=sharing"",""งบพรบ!BQ38"")"),0)</f>
        <v>0</v>
      </c>
      <c r="N140" s="93">
        <f ca="1">IFERROR(__xludf.DUMMYFUNCTION("IMPORTRANGE(""https://docs.google.com/spreadsheets/d/1MeEWN-I1oV_STSDYn1IFDPWt_1FKiwhDph83XaGc0o0/edit?usp=sharing"",""งบพรบ!BS38"")"),0)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16720</v>
      </c>
      <c r="N149" s="155">
        <f t="shared" ca="1" si="77"/>
        <v>14469</v>
      </c>
      <c r="O149" s="155">
        <f t="shared" ref="O149:O157" ca="1" si="78">IF(L149&gt;0,N149*100/L149,0)</f>
        <v>144.69</v>
      </c>
      <c r="P149" s="155">
        <f t="shared" ref="P149:P157" ca="1" si="79">IF(M149&gt;0,N149*100/M149,0)</f>
        <v>86.537081339712913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16720</v>
      </c>
      <c r="N151" s="93">
        <f t="shared" ca="1" si="80"/>
        <v>14469</v>
      </c>
      <c r="O151" s="93">
        <f t="shared" ca="1" si="78"/>
        <v>144.69</v>
      </c>
      <c r="P151" s="93">
        <f t="shared" ca="1" si="79"/>
        <v>86.537081339712913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16720</v>
      </c>
      <c r="N152" s="497">
        <f t="shared" ca="1" si="81"/>
        <v>14469</v>
      </c>
      <c r="O152" s="497">
        <f t="shared" ca="1" si="78"/>
        <v>144.69</v>
      </c>
      <c r="P152" s="497">
        <f t="shared" ca="1" si="79"/>
        <v>86.537081339712913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IFERROR(__xludf.DUMMYFUNCTION("IMPORTRANGE(""https://docs.google.com/spreadsheets/d/1MeEWN-I1oV_STSDYn1IFDPWt_1FKiwhDph83XaGc0o0/edit?usp=sharing"",""งบพรบ!BU38"")"),10000)</f>
        <v>10000</v>
      </c>
      <c r="M154" s="93">
        <f ca="1">IFERROR(__xludf.DUMMYFUNCTION("IMPORTRANGE(""https://docs.google.com/spreadsheets/d/1MeEWN-I1oV_STSDYn1IFDPWt_1FKiwhDph83XaGc0o0/edit?usp=sharing"",""งบพรบ!BZ38"")"),16720)</f>
        <v>16720</v>
      </c>
      <c r="N154" s="93">
        <f ca="1">IFERROR(__xludf.DUMMYFUNCTION("IMPORTRANGE(""https://docs.google.com/spreadsheets/d/1MeEWN-I1oV_STSDYn1IFDPWt_1FKiwhDph83XaGc0o0/edit?usp=sharing"",""งบพรบ!CB38"")"),14469)</f>
        <v>14469</v>
      </c>
      <c r="O154" s="93">
        <f t="shared" ca="1" si="78"/>
        <v>144.69</v>
      </c>
      <c r="P154" s="93">
        <f t="shared" ca="1" si="79"/>
        <v>86.537081339712913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IFERROR(__xludf.DUMMYFUNCTION("IMPORTRANGE(""https://docs.google.com/spreadsheets/d/1MeEWN-I1oV_STSDYn1IFDPWt_1FKiwhDph83XaGc0o0/edit?usp=sharing"",""งบพรบ!BX38"")"),0)</f>
        <v>0</v>
      </c>
      <c r="M157" s="93">
        <f ca="1">IFERROR(__xludf.DUMMYFUNCTION("IMPORTRANGE(""https://docs.google.com/spreadsheets/d/1MeEWN-I1oV_STSDYn1IFDPWt_1FKiwhDph83XaGc0o0/edit?usp=sharing"",""งบพรบ!CA38"")"),0)</f>
        <v>0</v>
      </c>
      <c r="N157" s="93">
        <f ca="1">IFERROR(__xludf.DUMMYFUNCTION("IMPORTRANGE(""https://docs.google.com/spreadsheets/d/1MeEWN-I1oV_STSDYn1IFDPWt_1FKiwhDph83XaGc0o0/edit?usp=sharing"",""งบพรบ!CC38"")"),0)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IFERROR(__xludf.DUMMYFUNCTION("IMPORTRANGE(""https://docs.google.com/spreadsheets/d/1QqKyyYR6Q21VydFLVH3TRQUabQu_ym0Zz7PgGX0-kHA/edit?usp=sharing"",""แผน!X38"")"),20)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IFERROR(__xludf.DUMMYFUNCTION("IMPORTRANGE(""https://docs.google.com/spreadsheets/d/1MeEWN-I1oV_STSDYn1IFDPWt_1FKiwhDph83XaGc0o0/edit?usp=sharing"",""งบพรบ!CE38"")"),21050)</f>
        <v>21050</v>
      </c>
      <c r="M170" s="93">
        <f ca="1">IFERROR(__xludf.DUMMYFUNCTION("IMPORTRANGE(""https://docs.google.com/spreadsheets/d/1MeEWN-I1oV_STSDYn1IFDPWt_1FKiwhDph83XaGc0o0/edit?usp=sharing"",""งบพรบ!CJ38"")"),21050)</f>
        <v>21050</v>
      </c>
      <c r="N170" s="93">
        <f ca="1">IFERROR(__xludf.DUMMYFUNCTION("IMPORTRANGE(""https://docs.google.com/spreadsheets/d/1MeEWN-I1oV_STSDYn1IFDPWt_1FKiwhDph83XaGc0o0/edit?usp=sharing"",""งบพรบ!CL38"")"),21050)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IFERROR(__xludf.DUMMYFUNCTION("IMPORTRANGE(""https://docs.google.com/spreadsheets/d/1MeEWN-I1oV_STSDYn1IFDPWt_1FKiwhDph83XaGc0o0/edit?usp=sharing"",""งบพรบ!CH38"")"),0)</f>
        <v>0</v>
      </c>
      <c r="M173" s="93">
        <f ca="1">IFERROR(__xludf.DUMMYFUNCTION("IMPORTRANGE(""https://docs.google.com/spreadsheets/d/1MeEWN-I1oV_STSDYn1IFDPWt_1FKiwhDph83XaGc0o0/edit?usp=sharing"",""งบพรบ!CK38"")"),0)</f>
        <v>0</v>
      </c>
      <c r="N173" s="93">
        <f ca="1">IFERROR(__xludf.DUMMYFUNCTION("IMPORTRANGE(""https://docs.google.com/spreadsheets/d/1MeEWN-I1oV_STSDYn1IFDPWt_1FKiwhDph83XaGc0o0/edit?usp=sharing"",""งบพรบ!CM38"")"),0)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90000</v>
      </c>
      <c r="M181" s="155">
        <f t="shared" ca="1" si="92"/>
        <v>63500</v>
      </c>
      <c r="N181" s="155">
        <f t="shared" ca="1" si="92"/>
        <v>54760</v>
      </c>
      <c r="O181" s="155">
        <f t="shared" ref="O181:O189" ca="1" si="93">IF(L181&gt;0,N181*100/L181,0)</f>
        <v>60.844444444444441</v>
      </c>
      <c r="P181" s="155">
        <f t="shared" ref="P181:P189" ca="1" si="94">IF(M181&gt;0,N181*100/M181,0)</f>
        <v>86.236220472440948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90000</v>
      </c>
      <c r="M183" s="93">
        <f t="shared" ca="1" si="95"/>
        <v>63500</v>
      </c>
      <c r="N183" s="93">
        <f t="shared" ca="1" si="95"/>
        <v>54760</v>
      </c>
      <c r="O183" s="93">
        <f t="shared" ca="1" si="93"/>
        <v>60.844444444444441</v>
      </c>
      <c r="P183" s="93">
        <f t="shared" ca="1" si="94"/>
        <v>86.236220472440948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90000</v>
      </c>
      <c r="M184" s="497">
        <f t="shared" ca="1" si="96"/>
        <v>63500</v>
      </c>
      <c r="N184" s="497">
        <f t="shared" ca="1" si="96"/>
        <v>54760</v>
      </c>
      <c r="O184" s="497">
        <f t="shared" ca="1" si="93"/>
        <v>60.844444444444441</v>
      </c>
      <c r="P184" s="497">
        <f t="shared" ca="1" si="94"/>
        <v>86.236220472440948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IFERROR(__xludf.DUMMYFUNCTION("IMPORTRANGE(""https://docs.google.com/spreadsheets/d/1MeEWN-I1oV_STSDYn1IFDPWt_1FKiwhDph83XaGc0o0/edit?usp=sharing"",""งบพรบ!CO38"")"),90000)</f>
        <v>90000</v>
      </c>
      <c r="M186" s="93">
        <f ca="1">IFERROR(__xludf.DUMMYFUNCTION("IMPORTRANGE(""https://docs.google.com/spreadsheets/d/1MeEWN-I1oV_STSDYn1IFDPWt_1FKiwhDph83XaGc0o0/edit?usp=sharing"",""งบพรบ!CT38"")"),63500)</f>
        <v>63500</v>
      </c>
      <c r="N186" s="93">
        <f ca="1">IFERROR(__xludf.DUMMYFUNCTION("IMPORTRANGE(""https://docs.google.com/spreadsheets/d/1MeEWN-I1oV_STSDYn1IFDPWt_1FKiwhDph83XaGc0o0/edit?usp=sharing"",""งบพรบ!CV38"")"),54760)</f>
        <v>54760</v>
      </c>
      <c r="O186" s="93">
        <f t="shared" ca="1" si="93"/>
        <v>60.844444444444441</v>
      </c>
      <c r="P186" s="93">
        <f t="shared" ca="1" si="94"/>
        <v>86.236220472440948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IFERROR(__xludf.DUMMYFUNCTION("IMPORTRANGE(""https://docs.google.com/spreadsheets/d/1MeEWN-I1oV_STSDYn1IFDPWt_1FKiwhDph83XaGc0o0/edit?usp=sharing"",""งบพรบ!CR38"")"),0)</f>
        <v>0</v>
      </c>
      <c r="M189" s="93">
        <f ca="1">IFERROR(__xludf.DUMMYFUNCTION("IMPORTRANGE(""https://docs.google.com/spreadsheets/d/1MeEWN-I1oV_STSDYn1IFDPWt_1FKiwhDph83XaGc0o0/edit?usp=sharing"",""งบพรบ!CU38"")"),0)</f>
        <v>0</v>
      </c>
      <c r="N189" s="93">
        <f ca="1">IFERROR(__xludf.DUMMYFUNCTION("IMPORTRANGE(""https://docs.google.com/spreadsheets/d/1MeEWN-I1oV_STSDYn1IFDPWt_1FKiwhDph83XaGc0o0/edit?usp=sharing"",""งบพรบ!CW38"")"),0)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IFERROR(__xludf.DUMMYFUNCTION("IMPORTRANGE(""https://docs.google.com/spreadsheets/d/1QqKyyYR6Q21VydFLVH3TRQUabQu_ym0Zz7PgGX0-kHA/edit?usp=sharing"",""แผน!Z38"")"),6000)</f>
        <v>6000</v>
      </c>
      <c r="M191" s="155"/>
      <c r="N191" s="276">
        <v>2760</v>
      </c>
      <c r="O191" s="155">
        <f ca="1">IF(L191&gt;0,N191*100/L191,0)</f>
        <v>46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IFERROR(__xludf.DUMMYFUNCTION("IMPORTRANGE(""https://docs.google.com/spreadsheets/d/1QqKyyYR6Q21VydFLVH3TRQUabQu_ym0Zz7PgGX0-kHA/edit?usp=sharing"",""แผน!AF38"")"),24000)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IFERROR(__xludf.DUMMYFUNCTION("IMPORTRANGE(""https://docs.google.com/spreadsheets/d/1QqKyyYR6Q21VydFLVH3TRQUabQu_ym0Zz7PgGX0-kHA/edit?usp=sharing"",""แผน!AG38"")"),12000)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13000</v>
      </c>
      <c r="O209" s="155">
        <f ca="1">IF(L209&gt;0,N209*100/L209,0)</f>
        <v>92.857142857142861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IFERROR(__xludf.DUMMYFUNCTION("IMPORTRANGE(""https://docs.google.com/spreadsheets/d/1QqKyyYR6Q21VydFLVH3TRQUabQu_ym0Zz7PgGX0-kHA/edit?usp=sharing"",""แผน!AK38"")"),1000)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IFERROR(__xludf.DUMMYFUNCTION("IMPORTRANGE(""https://docs.google.com/spreadsheets/d/1QqKyyYR6Q21VydFLVH3TRQUabQu_ym0Zz7PgGX0-kHA/edit?usp=sharing"",""แผน!AL38"")"),5000)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IFERROR(__xludf.DUMMYFUNCTION("IMPORTRANGE(""https://docs.google.com/spreadsheets/d/1QqKyyYR6Q21VydFLVH3TRQUabQu_ym0Zz7PgGX0-kHA/edit?usp=sharing"",""แผน!AM38"")"),8000)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IFERROR(__xludf.DUMMYFUNCTION("IMPORTRANGE(""https://docs.google.com/spreadsheets/d/1QqKyyYR6Q21VydFLVH3TRQUabQu_ym0Zz7PgGX0-kHA/edit?usp=sharing"",""แผน!AP38"")"),6000)</f>
        <v>6000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IFERROR(__xludf.DUMMYFUNCTION("IMPORTRANGE(""https://docs.google.com/spreadsheets/d/1QqKyyYR6Q21VydFLVH3TRQUabQu_ym0Zz7PgGX0-kHA/edit?usp=sharing"",""แผน!AQ38"")"),25000)</f>
        <v>25000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IFERROR(__xludf.DUMMYFUNCTION("IMPORTRANGE(""https://docs.google.com/spreadsheets/d/1QqKyyYR6Q21VydFLVH3TRQUabQu_ym0Zz7PgGX0-kHA/edit?usp=sharing"",""แผน!AR38"")"),0)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IFERROR(__xludf.DUMMYFUNCTION("IMPORTRANGE(""https://docs.google.com/spreadsheets/d/1QqKyyYR6Q21VydFLVH3TRQUabQu_ym0Zz7PgGX0-kHA/edit?usp=sharing"",""แผน!AT38"")"),100000)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20388</v>
      </c>
      <c r="O261" s="155">
        <f t="shared" ref="O261:O269" ca="1" si="117">IF(L261&gt;0,N261*100/L261,0)</f>
        <v>75.791821561338296</v>
      </c>
      <c r="P261" s="155">
        <f t="shared" ref="P261:P269" ca="1" si="118">IF(M261&gt;0,N261*100/M261,0)</f>
        <v>85.305439330543933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20388</v>
      </c>
      <c r="O263" s="93">
        <f t="shared" ca="1" si="117"/>
        <v>75.791821561338296</v>
      </c>
      <c r="P263" s="93">
        <f t="shared" ca="1" si="118"/>
        <v>85.305439330543933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20388</v>
      </c>
      <c r="O264" s="497">
        <f t="shared" ca="1" si="117"/>
        <v>75.791821561338296</v>
      </c>
      <c r="P264" s="497">
        <f t="shared" ca="1" si="118"/>
        <v>85.305439330543933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IFERROR(__xludf.DUMMYFUNCTION("IMPORTRANGE(""https://docs.google.com/spreadsheets/d/1MeEWN-I1oV_STSDYn1IFDPWt_1FKiwhDph83XaGc0o0/edit?usp=sharing"",""งบพรบ!CY38"")"),26900)</f>
        <v>26900</v>
      </c>
      <c r="M266" s="93">
        <f ca="1">IFERROR(__xludf.DUMMYFUNCTION("IMPORTRANGE(""https://docs.google.com/spreadsheets/d/1MeEWN-I1oV_STSDYn1IFDPWt_1FKiwhDph83XaGc0o0/edit?usp=sharing"",""งบพรบ!DD38"")"),23900)</f>
        <v>23900</v>
      </c>
      <c r="N266" s="93">
        <f ca="1">IFERROR(__xludf.DUMMYFUNCTION("IMPORTRANGE(""https://docs.google.com/spreadsheets/d/1MeEWN-I1oV_STSDYn1IFDPWt_1FKiwhDph83XaGc0o0/edit?usp=sharing"",""งบพรบ!DF38"")"),20388)</f>
        <v>20388</v>
      </c>
      <c r="O266" s="93">
        <f t="shared" ca="1" si="117"/>
        <v>75.791821561338296</v>
      </c>
      <c r="P266" s="93">
        <f t="shared" ca="1" si="118"/>
        <v>85.305439330543933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IFERROR(__xludf.DUMMYFUNCTION("IMPORTRANGE(""https://docs.google.com/spreadsheets/d/1MeEWN-I1oV_STSDYn1IFDPWt_1FKiwhDph83XaGc0o0/edit?usp=sharing"",""งบพรบ!DB38"")"),0)</f>
        <v>0</v>
      </c>
      <c r="M269" s="93">
        <f ca="1">IFERROR(__xludf.DUMMYFUNCTION("IMPORTRANGE(""https://docs.google.com/spreadsheets/d/1MeEWN-I1oV_STSDYn1IFDPWt_1FKiwhDph83XaGc0o0/edit?usp=sharing"",""งบพรบ!DE38"")"),0)</f>
        <v>0</v>
      </c>
      <c r="N269" s="93">
        <f ca="1">IFERROR(__xludf.DUMMYFUNCTION("IMPORTRANGE(""https://docs.google.com/spreadsheets/d/1MeEWN-I1oV_STSDYn1IFDPWt_1FKiwhDph83XaGc0o0/edit?usp=sharing"",""งบพรบ!DG38"")"),0)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14960</v>
      </c>
      <c r="O277" s="155">
        <f t="shared" ref="O277:O285" ca="1" si="126">IF(L277&gt;0,N277*100/L277,0)</f>
        <v>36.478907583516218</v>
      </c>
      <c r="P277" s="155">
        <f t="shared" ref="P277:P285" ca="1" si="127">IF(M277&gt;0,N277*100/M277,0)</f>
        <v>68.154897494305246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14960</v>
      </c>
      <c r="O279" s="93">
        <f t="shared" ca="1" si="126"/>
        <v>36.478907583516218</v>
      </c>
      <c r="P279" s="93">
        <f t="shared" ca="1" si="127"/>
        <v>68.154897494305246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14960</v>
      </c>
      <c r="O280" s="497">
        <f t="shared" ca="1" si="126"/>
        <v>36.478907583516218</v>
      </c>
      <c r="P280" s="497">
        <f t="shared" ca="1" si="127"/>
        <v>68.154897494305246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IFERROR(__xludf.DUMMYFUNCTION("IMPORTRANGE(""https://docs.google.com/spreadsheets/d/1MeEWN-I1oV_STSDYn1IFDPWt_1FKiwhDph83XaGc0o0/edit?usp=sharing"",""งบพรบ!DI38"")"),41010)</f>
        <v>41010</v>
      </c>
      <c r="M282" s="93">
        <f ca="1">IFERROR(__xludf.DUMMYFUNCTION("IMPORTRANGE(""https://docs.google.com/spreadsheets/d/1MeEWN-I1oV_STSDYn1IFDPWt_1FKiwhDph83XaGc0o0/edit?usp=sharing"",""งบพรบ!DN38"")"),21950)</f>
        <v>21950</v>
      </c>
      <c r="N282" s="93">
        <f ca="1">IFERROR(__xludf.DUMMYFUNCTION("IMPORTRANGE(""https://docs.google.com/spreadsheets/d/1MeEWN-I1oV_STSDYn1IFDPWt_1FKiwhDph83XaGc0o0/edit?usp=sharing"",""งบพรบ!DP38"")"),14960)</f>
        <v>14960</v>
      </c>
      <c r="O282" s="93">
        <f t="shared" ca="1" si="126"/>
        <v>36.478907583516218</v>
      </c>
      <c r="P282" s="93">
        <f t="shared" ca="1" si="127"/>
        <v>68.154897494305246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IFERROR(__xludf.DUMMYFUNCTION("IMPORTRANGE(""https://docs.google.com/spreadsheets/d/1MeEWN-I1oV_STSDYn1IFDPWt_1FKiwhDph83XaGc0o0/edit?usp=sharing"",""งบพรบ!DL38"")"),0)</f>
        <v>0</v>
      </c>
      <c r="M285" s="93">
        <f ca="1">IFERROR(__xludf.DUMMYFUNCTION("IMPORTRANGE(""https://docs.google.com/spreadsheets/d/1MeEWN-I1oV_STSDYn1IFDPWt_1FKiwhDph83XaGc0o0/edit?usp=sharing"",""งบพรบ!DO38"")"),0)</f>
        <v>0</v>
      </c>
      <c r="N285" s="93">
        <f ca="1">IFERROR(__xludf.DUMMYFUNCTION("IMPORTRANGE(""https://docs.google.com/spreadsheets/d/1MeEWN-I1oV_STSDYn1IFDPWt_1FKiwhDph83XaGc0o0/edit?usp=sharing"",""งบพรบ!DQ38"")"),0)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IFERROR(__xludf.DUMMYFUNCTION("IMPORTRANGE(""https://docs.google.com/spreadsheets/d/1QqKyyYR6Q21VydFLVH3TRQUabQu_ym0Zz7PgGX0-kHA/edit?usp=sharing"",""แผน!EB38"")"),10)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IFERROR(__xludf.DUMMYFUNCTION("IMPORTRANGE(""https://docs.google.com/spreadsheets/d/1QqKyyYR6Q21VydFLVH3TRQUabQu_ym0Zz7PgGX0-kHA/edit?usp=sharing"",""แผน!EB38"")"),10)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IFERROR(__xludf.DUMMYFUNCTION("IMPORTRANGE(""https://docs.google.com/spreadsheets/d/1QqKyyYR6Q21VydFLVH3TRQUabQu_ym0Zz7PgGX0-kHA/edit?usp=sharing"",""แผน!EB38"")"),10)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387000</v>
      </c>
      <c r="M298" s="155">
        <f t="shared" ca="1" si="135"/>
        <v>286500</v>
      </c>
      <c r="N298" s="155">
        <f t="shared" ca="1" si="135"/>
        <v>220778.4</v>
      </c>
      <c r="O298" s="155">
        <f t="shared" ref="O298:O306" ca="1" si="136">IF(L298&gt;0,N298*100/L298,0)</f>
        <v>57.048682170542634</v>
      </c>
      <c r="P298" s="155">
        <f t="shared" ref="P298:P306" ca="1" si="137">IF(M298&gt;0,N298*100/M298,0)</f>
        <v>77.060523560209418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387000</v>
      </c>
      <c r="M300" s="93">
        <f t="shared" ca="1" si="138"/>
        <v>286500</v>
      </c>
      <c r="N300" s="93">
        <f t="shared" ca="1" si="138"/>
        <v>220778.4</v>
      </c>
      <c r="O300" s="93">
        <f t="shared" ca="1" si="136"/>
        <v>57.048682170542634</v>
      </c>
      <c r="P300" s="93">
        <f t="shared" ca="1" si="137"/>
        <v>77.060523560209418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387000</v>
      </c>
      <c r="M301" s="497">
        <f t="shared" ca="1" si="139"/>
        <v>286500</v>
      </c>
      <c r="N301" s="497">
        <f t="shared" ca="1" si="139"/>
        <v>220778.4</v>
      </c>
      <c r="O301" s="497">
        <f t="shared" ca="1" si="136"/>
        <v>57.048682170542634</v>
      </c>
      <c r="P301" s="497">
        <f t="shared" ca="1" si="137"/>
        <v>77.060523560209418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IFERROR(__xludf.DUMMYFUNCTION("IMPORTRANGE(""https://docs.google.com/spreadsheets/d/1MeEWN-I1oV_STSDYn1IFDPWt_1FKiwhDph83XaGc0o0/edit?usp=sharing"",""งบพรบ!DS38"")"),387000)</f>
        <v>387000</v>
      </c>
      <c r="M303" s="93">
        <f ca="1">IFERROR(__xludf.DUMMYFUNCTION("IMPORTRANGE(""https://docs.google.com/spreadsheets/d/1MeEWN-I1oV_STSDYn1IFDPWt_1FKiwhDph83XaGc0o0/edit?usp=sharing"",""งบพรบ!DX38"")"),286500)</f>
        <v>286500</v>
      </c>
      <c r="N303" s="93">
        <f ca="1">IFERROR(__xludf.DUMMYFUNCTION("IMPORTRANGE(""https://docs.google.com/spreadsheets/d/1MeEWN-I1oV_STSDYn1IFDPWt_1FKiwhDph83XaGc0o0/edit?usp=sharing"",""งบพรบ!DZ38"")"),220778.4)</f>
        <v>220778.4</v>
      </c>
      <c r="O303" s="93">
        <f t="shared" ca="1" si="136"/>
        <v>57.048682170542634</v>
      </c>
      <c r="P303" s="93">
        <f t="shared" ca="1" si="137"/>
        <v>77.060523560209418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IFERROR(__xludf.DUMMYFUNCTION("IMPORTRANGE(""https://docs.google.com/spreadsheets/d/1MeEWN-I1oV_STSDYn1IFDPWt_1FKiwhDph83XaGc0o0/edit?usp=sharing"",""งบพรบ!DV38"")"),0)</f>
        <v>0</v>
      </c>
      <c r="M306" s="93">
        <f ca="1">IFERROR(__xludf.DUMMYFUNCTION("IMPORTRANGE(""https://docs.google.com/spreadsheets/d/1MeEWN-I1oV_STSDYn1IFDPWt_1FKiwhDph83XaGc0o0/edit?usp=sharing"",""งบพรบ!DY38"")"),0)</f>
        <v>0</v>
      </c>
      <c r="N306" s="93">
        <f ca="1">IFERROR(__xludf.DUMMYFUNCTION("IMPORTRANGE(""https://docs.google.com/spreadsheets/d/1MeEWN-I1oV_STSDYn1IFDPWt_1FKiwhDph83XaGc0o0/edit?usp=sharing"",""งบพรบ!EA38"")"),0)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IFERROR(__xludf.DUMMYFUNCTION("IMPORTRANGE(""https://docs.google.com/spreadsheets/d/1QqKyyYR6Q21VydFLVH3TRQUabQu_ym0Zz7PgGX0-kHA/edit?usp=sharing"",""แผน!EE38"")"),5)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IFERROR(__xludf.DUMMYFUNCTION("IMPORTRANGE(""https://docs.google.com/spreadsheets/d/1MeEWN-I1oV_STSDYn1IFDPWt_1FKiwhDph83XaGc0o0/edit?usp=sharing"",""งบพรบ!EC38"")"),0)</f>
        <v>0</v>
      </c>
      <c r="M320" s="93">
        <f ca="1">IFERROR(__xludf.DUMMYFUNCTION("IMPORTRANGE(""https://docs.google.com/spreadsheets/d/1MeEWN-I1oV_STSDYn1IFDPWt_1FKiwhDph83XaGc0o0/edit?usp=sharing"",""งบพรบ!EH38"")"),0)</f>
        <v>0</v>
      </c>
      <c r="N320" s="93">
        <f ca="1">IFERROR(__xludf.DUMMYFUNCTION("IMPORTRANGE(""https://docs.google.com/spreadsheets/d/1MeEWN-I1oV_STSDYn1IFDPWt_1FKiwhDph83XaGc0o0/edit?usp=sharing"",""งบพรบ!EJ38"")"),0)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IFERROR(__xludf.DUMMYFUNCTION("IMPORTRANGE(""https://docs.google.com/spreadsheets/d/1MeEWN-I1oV_STSDYn1IFDPWt_1FKiwhDph83XaGc0o0/edit?usp=sharing"",""งบพรบ!EF38"")"),0)</f>
        <v>0</v>
      </c>
      <c r="M323" s="93">
        <f ca="1">IFERROR(__xludf.DUMMYFUNCTION("IMPORTRANGE(""https://docs.google.com/spreadsheets/d/1MeEWN-I1oV_STSDYn1IFDPWt_1FKiwhDph83XaGc0o0/edit?usp=sharing"",""งบพรบ!EI38"")"),0)</f>
        <v>0</v>
      </c>
      <c r="N323" s="93">
        <f ca="1">IFERROR(__xludf.DUMMYFUNCTION("IMPORTRANGE(""https://docs.google.com/spreadsheets/d/1MeEWN-I1oV_STSDYn1IFDPWt_1FKiwhDph83XaGc0o0/edit?usp=sharing"",""งบพรบ!EK38"")"),0)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IFERROR(__xludf.DUMMYFUNCTION("IMPORTRANGE(""https://docs.google.com/spreadsheets/d/1QqKyyYR6Q21VydFLVH3TRQUabQu_ym0Zz7PgGX0-kHA/edit?usp=sharing"",""แผน!EG38"")"),6300)</f>
        <v>6300</v>
      </c>
      <c r="J327" s="444">
        <f ca="1">J338+J341+J342+J343</f>
        <v>5488</v>
      </c>
      <c r="K327" s="445">
        <f ca="1">IF(I327&gt;0,J327*100/I327,0)</f>
        <v>87.111111111111114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355200</v>
      </c>
      <c r="M328" s="155">
        <f t="shared" ca="1" si="149"/>
        <v>268900</v>
      </c>
      <c r="N328" s="155">
        <f t="shared" ca="1" si="149"/>
        <v>192475.73</v>
      </c>
      <c r="O328" s="155">
        <f t="shared" ref="O328:O336" ca="1" si="150">IF(L328&gt;0,N328*100/L328,0)</f>
        <v>54.187987049549548</v>
      </c>
      <c r="P328" s="155">
        <f t="shared" ref="P328:P336" ca="1" si="151">IF(M328&gt;0,N328*100/M328,0)</f>
        <v>71.578925251022682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355200</v>
      </c>
      <c r="M330" s="93">
        <f t="shared" ca="1" si="152"/>
        <v>268900</v>
      </c>
      <c r="N330" s="93">
        <f t="shared" ca="1" si="152"/>
        <v>192475.73</v>
      </c>
      <c r="O330" s="93">
        <f t="shared" ca="1" si="150"/>
        <v>54.187987049549548</v>
      </c>
      <c r="P330" s="93">
        <f t="shared" ca="1" si="151"/>
        <v>71.578925251022682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355200</v>
      </c>
      <c r="M331" s="497">
        <f t="shared" ca="1" si="153"/>
        <v>268900</v>
      </c>
      <c r="N331" s="497">
        <f t="shared" ca="1" si="153"/>
        <v>192475.73</v>
      </c>
      <c r="O331" s="497">
        <f t="shared" ca="1" si="150"/>
        <v>54.187987049549548</v>
      </c>
      <c r="P331" s="497">
        <f t="shared" ca="1" si="151"/>
        <v>71.578925251022682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IFERROR(__xludf.DUMMYFUNCTION("IMPORTRANGE(""https://docs.google.com/spreadsheets/d/1MeEWN-I1oV_STSDYn1IFDPWt_1FKiwhDph83XaGc0o0/edit?usp=sharing"",""งบพรบ!EM38"")"),355200)</f>
        <v>355200</v>
      </c>
      <c r="M333" s="93">
        <f ca="1">IFERROR(__xludf.DUMMYFUNCTION("IMPORTRANGE(""https://docs.google.com/spreadsheets/d/1MeEWN-I1oV_STSDYn1IFDPWt_1FKiwhDph83XaGc0o0/edit?usp=sharing"",""งบพรบ!ER38"")"),268900)</f>
        <v>268900</v>
      </c>
      <c r="N333" s="93">
        <f ca="1">IFERROR(__xludf.DUMMYFUNCTION("IMPORTRANGE(""https://docs.google.com/spreadsheets/d/1MeEWN-I1oV_STSDYn1IFDPWt_1FKiwhDph83XaGc0o0/edit?usp=sharing"",""งบพรบ!ET38"")"),192475.73)</f>
        <v>192475.73</v>
      </c>
      <c r="O333" s="93">
        <f t="shared" ca="1" si="150"/>
        <v>54.187987049549548</v>
      </c>
      <c r="P333" s="93">
        <f t="shared" ca="1" si="151"/>
        <v>71.578925251022682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IFERROR(__xludf.DUMMYFUNCTION("IMPORTRANGE(""https://docs.google.com/spreadsheets/d/1MeEWN-I1oV_STSDYn1IFDPWt_1FKiwhDph83XaGc0o0/edit?usp=sharing"",""งบพรบ!EP38"")"),0)</f>
        <v>0</v>
      </c>
      <c r="M336" s="93">
        <f ca="1">IFERROR(__xludf.DUMMYFUNCTION("IMPORTRANGE(""https://docs.google.com/spreadsheets/d/1MeEWN-I1oV_STSDYn1IFDPWt_1FKiwhDph83XaGc0o0/edit?usp=sharing"",""งบพรบ!ES38"")"),0)</f>
        <v>0</v>
      </c>
      <c r="N336" s="93">
        <f ca="1">IFERROR(__xludf.DUMMYFUNCTION("IMPORTRANGE(""https://docs.google.com/spreadsheets/d/1MeEWN-I1oV_STSDYn1IFDPWt_1FKiwhDph83XaGc0o0/edit?usp=sharing"",""งบพรบ!EU38"")"),0)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IFERROR(__xludf.DUMMYFUNCTION("IMPORTRANGE(""https://docs.google.com/spreadsheets/d/1QqKyyYR6Q21VydFLVH3TRQUabQu_ym0Zz7PgGX0-kHA/edit?usp=sharing"",""แผน!EG38"")"),6300)</f>
        <v>6300</v>
      </c>
      <c r="J338" s="270">
        <f ca="1">IFERROR(__xludf.DUMMYFUNCTION("IMPORTRANGE(""https://docs.google.com/spreadsheets/d/1kVcqe37tkHyjCSG3S0O1AXqVkqjo8mSIZil3BcpIysc/edit?usp=sharing"",""ศูนย์!D38"")"),5216)</f>
        <v>5216</v>
      </c>
      <c r="K338" s="497">
        <f ca="1">IF(I338&gt;0,J338*100/I338,0)</f>
        <v>82.793650793650798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IFERROR(__xludf.DUMMYFUNCTION("IMPORTRANGE(""https://docs.google.com/spreadsheets/d/1QqKyyYR6Q21VydFLVH3TRQUabQu_ym0Zz7PgGX0-kHA/edit?usp=sharing"",""แผน!EH38"")"),6)</f>
        <v>6</v>
      </c>
      <c r="J340" s="270">
        <f ca="1">IFERROR(__xludf.DUMMYFUNCTION("IMPORTRANGE(""https://docs.google.com/spreadsheets/d/1kVcqe37tkHyjCSG3S0O1AXqVkqjo8mSIZil3BcpIysc/edit?usp=sharing"",""ศูนย์!E38"")"),5)</f>
        <v>5</v>
      </c>
      <c r="K340" s="497">
        <f ca="1">IF(I340&gt;0,J340*100/I340,0)</f>
        <v>83.333333333333329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IFERROR(__xludf.DUMMYFUNCTION("IMPORTRANGE(""https://docs.google.com/spreadsheets/d/1kVcqe37tkHyjCSG3S0O1AXqVkqjo8mSIZil3BcpIysc/edit?usp=sharing"",""ศูนย์!F38"")"),271)</f>
        <v>271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IFERROR(__xludf.DUMMYFUNCTION("IMPORTRANGE(""https://docs.google.com/spreadsheets/d/1kVcqe37tkHyjCSG3S0O1AXqVkqjo8mSIZil3BcpIysc/edit?usp=sharing"",""ศูนย์!H38"")"),1)</f>
        <v>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1329450</v>
      </c>
      <c r="M345" s="155">
        <f t="shared" ca="1" si="155"/>
        <v>1100730</v>
      </c>
      <c r="N345" s="155">
        <f t="shared" ca="1" si="155"/>
        <v>914487.47</v>
      </c>
      <c r="O345" s="155">
        <f t="shared" ref="O345:O353" ca="1" si="156">IF(L345&gt;0,N345*100/L345,0)</f>
        <v>68.786902102373162</v>
      </c>
      <c r="P345" s="155">
        <f t="shared" ref="P345:P353" ca="1" si="157">IF(M345&gt;0,N345*100/M345,0)</f>
        <v>83.080089576917132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1329450</v>
      </c>
      <c r="M347" s="93">
        <f t="shared" ca="1" si="158"/>
        <v>1100730</v>
      </c>
      <c r="N347" s="93">
        <f t="shared" ca="1" si="158"/>
        <v>914487.47</v>
      </c>
      <c r="O347" s="93">
        <f t="shared" ca="1" si="156"/>
        <v>68.786902102373162</v>
      </c>
      <c r="P347" s="93">
        <f t="shared" ca="1" si="157"/>
        <v>83.080089576917132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1215650</v>
      </c>
      <c r="M348" s="497">
        <f t="shared" ca="1" si="159"/>
        <v>986930</v>
      </c>
      <c r="N348" s="497">
        <f t="shared" ca="1" si="159"/>
        <v>800687.47</v>
      </c>
      <c r="O348" s="497">
        <f t="shared" ca="1" si="156"/>
        <v>65.864966890141076</v>
      </c>
      <c r="P348" s="497">
        <f t="shared" ca="1" si="157"/>
        <v>81.129104394435274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IFERROR(__xludf.DUMMYFUNCTION("IMPORTRANGE(""https://docs.google.com/spreadsheets/d/1MeEWN-I1oV_STSDYn1IFDPWt_1FKiwhDph83XaGc0o0/edit?usp=sharing"",""งบพรบ!EW38"")"),1215650)</f>
        <v>1215650</v>
      </c>
      <c r="M350" s="93">
        <f ca="1">IFERROR(__xludf.DUMMYFUNCTION("IMPORTRANGE(""https://docs.google.com/spreadsheets/d/1MeEWN-I1oV_STSDYn1IFDPWt_1FKiwhDph83XaGc0o0/edit?usp=sharing"",""งบพรบ!FB38"")"),986930)</f>
        <v>986930</v>
      </c>
      <c r="N350" s="93">
        <f ca="1">IFERROR(__xludf.DUMMYFUNCTION("IMPORTRANGE(""https://docs.google.com/spreadsheets/d/1MeEWN-I1oV_STSDYn1IFDPWt_1FKiwhDph83XaGc0o0/edit?usp=sharing"",""งบพรบ!FD38"")"),800687.47)</f>
        <v>800687.47</v>
      </c>
      <c r="O350" s="93">
        <f t="shared" ca="1" si="156"/>
        <v>65.864966890141076</v>
      </c>
      <c r="P350" s="93">
        <f t="shared" ca="1" si="157"/>
        <v>81.129104394435274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IFERROR(__xludf.DUMMYFUNCTION("IMPORTRANGE(""https://docs.google.com/spreadsheets/d/1MeEWN-I1oV_STSDYn1IFDPWt_1FKiwhDph83XaGc0o0/edit?usp=sharing"",""งบพรบ!EZ38"")"),113800)</f>
        <v>113800</v>
      </c>
      <c r="M353" s="93">
        <f ca="1">IFERROR(__xludf.DUMMYFUNCTION("IMPORTRANGE(""https://docs.google.com/spreadsheets/d/1MeEWN-I1oV_STSDYn1IFDPWt_1FKiwhDph83XaGc0o0/edit?usp=sharing"",""งบพรบ!FC38"")"),113800)</f>
        <v>113800</v>
      </c>
      <c r="N353" s="93">
        <f ca="1">IFERROR(__xludf.DUMMYFUNCTION("IMPORTRANGE(""https://docs.google.com/spreadsheets/d/1MeEWN-I1oV_STSDYn1IFDPWt_1FKiwhDph83XaGc0o0/edit?usp=sharing"",""งบพรบ!FE38"")"),113800)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IFERROR(__xludf.DUMMYFUNCTION("IMPORTRANGE(""https://docs.google.com/spreadsheets/d/1QqKyyYR6Q21VydFLVH3TRQUabQu_ym0Zz7PgGX0-kHA/edit?usp=sharing"",""แผน!EP38"")"),696)</f>
        <v>696</v>
      </c>
      <c r="J355" s="464">
        <f ca="1">J362</f>
        <v>333</v>
      </c>
      <c r="K355" s="465">
        <f ca="1">IF(I355&gt;0,J355*100/I355,0)</f>
        <v>47.844827586206897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IFERROR(__xludf.DUMMYFUNCTION("IMPORTRANGE(""https://docs.google.com/spreadsheets/d/1XWAQStnk-4SwqDmLtmXYiTMKHgktTP8We1SCoS47DrQ/edit?usp=sharing"",""จัดที่ดิน!W38"")"),609)</f>
        <v>609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IFERROR(__xludf.DUMMYFUNCTION("IMPORTRANGE(""https://docs.google.com/spreadsheets/d/1QqKyyYR6Q21VydFLVH3TRQUabQu_ym0Zz7PgGX0-kHA/edit?usp=sharing"",""แผน!EO38"")"),6960)</f>
        <v>6960</v>
      </c>
      <c r="J359" s="270">
        <f ca="1">IFERROR(__xludf.DUMMYFUNCTION("IMPORTRANGE(""https://docs.google.com/spreadsheets/d/1XWAQStnk-4SwqDmLtmXYiTMKHgktTP8We1SCoS47DrQ/edit?usp=sharing"",""จัดที่ดิน!X38"")"),4438.25)</f>
        <v>4438.25</v>
      </c>
      <c r="K359" s="497">
        <f t="shared" ca="1" si="161"/>
        <v>63.767959770114942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IFERROR(__xludf.DUMMYFUNCTION("IMPORTRANGE(""https://docs.google.com/spreadsheets/d/1QqKyyYR6Q21VydFLVH3TRQUabQu_ym0Zz7PgGX0-kHA/edit?usp=sharing"",""แผน!EP38"")"),696)</f>
        <v>696</v>
      </c>
      <c r="J360" s="270">
        <f ca="1">IFERROR(__xludf.DUMMYFUNCTION("IMPORTRANGE(""https://docs.google.com/spreadsheets/d/1XWAQStnk-4SwqDmLtmXYiTMKHgktTP8We1SCoS47DrQ/edit?usp=sharing"",""จัดที่ดิน!Y38"")"),388)</f>
        <v>388</v>
      </c>
      <c r="K360" s="497">
        <f t="shared" ca="1" si="161"/>
        <v>55.747126436781606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IFERROR(__xludf.DUMMYFUNCTION("IMPORTRANGE(""https://docs.google.com/spreadsheets/d/1XWAQStnk-4SwqDmLtmXYiTMKHgktTP8We1SCoS47DrQ/edit?usp=sharing"",""จัดที่ดิน!Z38"")"),2471.11)</f>
        <v>2471.11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IFERROR(__xludf.DUMMYFUNCTION("IMPORTRANGE(""https://docs.google.com/spreadsheets/d/1QqKyyYR6Q21VydFLVH3TRQUabQu_ym0Zz7PgGX0-kHA/edit?usp=sharing"",""แผน!EP38"")"),696)</f>
        <v>696</v>
      </c>
      <c r="J362" s="270">
        <f ca="1">IFERROR(__xludf.DUMMYFUNCTION("IMPORTRANGE(""https://docs.google.com/spreadsheets/d/1XWAQStnk-4SwqDmLtmXYiTMKHgktTP8We1SCoS47DrQ/edit?usp=sharing"",""จัดที่ดิน!AA38"")"),333)</f>
        <v>333</v>
      </c>
      <c r="K362" s="497">
        <f t="shared" ca="1" si="161"/>
        <v>47.844827586206897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IFERROR(__xludf.DUMMYFUNCTION("IMPORTRANGE(""https://docs.google.com/spreadsheets/d/1XWAQStnk-4SwqDmLtmXYiTMKHgktTP8We1SCoS47DrQ/edit?usp=sharing"",""จัดที่ดิน!AB38"")"),2165.52)</f>
        <v>2165.52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1236</v>
      </c>
      <c r="J364" s="478">
        <f t="shared" ca="1" si="162"/>
        <v>710</v>
      </c>
      <c r="K364" s="479">
        <f t="shared" ca="1" si="161"/>
        <v>57.443365695792878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IFERROR(__xludf.DUMMYFUNCTION("IMPORTRANGE(""https://docs.google.com/spreadsheets/d/1QqKyyYR6Q21VydFLVH3TRQUabQu_ym0Zz7PgGX0-kHA/edit?usp=sharing"",""แผน!EJ38"")"),596)</f>
        <v>596</v>
      </c>
      <c r="J365" s="490">
        <f ca="1">J372</f>
        <v>270</v>
      </c>
      <c r="K365" s="491">
        <f t="shared" ca="1" si="161"/>
        <v>45.302013422818789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IFERROR(__xludf.DUMMYFUNCTION("IMPORTRANGE(""https://docs.google.com/spreadsheets/d/1XWAQStnk-4SwqDmLtmXYiTMKHgktTP8We1SCoS47DrQ/edit?usp=sharing"",""จัดที่ดิน!E38"")"),528)</f>
        <v>528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IFERROR(__xludf.DUMMYFUNCTION("IMPORTRANGE(""https://docs.google.com/spreadsheets/d/1QqKyyYR6Q21VydFLVH3TRQUabQu_ym0Zz7PgGX0-kHA/edit?usp=sharing"",""แผน!EI38"")"),5960)</f>
        <v>5960</v>
      </c>
      <c r="J369" s="270">
        <f ca="1">IFERROR(__xludf.DUMMYFUNCTION("IMPORTRANGE(""https://docs.google.com/spreadsheets/d/1XWAQStnk-4SwqDmLtmXYiTMKHgktTP8We1SCoS47DrQ/edit?usp=sharing"",""จัดที่ดิน!F38"")"),3784.68)</f>
        <v>3784.68</v>
      </c>
      <c r="K369" s="497">
        <f t="shared" ca="1" si="163"/>
        <v>63.501342281879197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IFERROR(__xludf.DUMMYFUNCTION("IMPORTRANGE(""https://docs.google.com/spreadsheets/d/1QqKyyYR6Q21VydFLVH3TRQUabQu_ym0Zz7PgGX0-kHA/edit?usp=sharing"",""แผน!EJ38"")"),596)</f>
        <v>596</v>
      </c>
      <c r="J370" s="270">
        <f ca="1">IFERROR(__xludf.DUMMYFUNCTION("IMPORTRANGE(""https://docs.google.com/spreadsheets/d/1XWAQStnk-4SwqDmLtmXYiTMKHgktTP8We1SCoS47DrQ/edit?usp=sharing"",""จัดที่ดิน!G38"")"),325)</f>
        <v>325</v>
      </c>
      <c r="K370" s="497">
        <f t="shared" ca="1" si="163"/>
        <v>54.530201342281877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IFERROR(__xludf.DUMMYFUNCTION("IMPORTRANGE(""https://docs.google.com/spreadsheets/d/1XWAQStnk-4SwqDmLtmXYiTMKHgktTP8We1SCoS47DrQ/edit?usp=sharing"",""จัดที่ดิน!H38"")"),1913.77)</f>
        <v>1913.77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IFERROR(__xludf.DUMMYFUNCTION("IMPORTRANGE(""https://docs.google.com/spreadsheets/d/1QqKyyYR6Q21VydFLVH3TRQUabQu_ym0Zz7PgGX0-kHA/edit?usp=sharing"",""แผน!EJ38"")"),596)</f>
        <v>596</v>
      </c>
      <c r="J372" s="270">
        <f ca="1">IFERROR(__xludf.DUMMYFUNCTION("IMPORTRANGE(""https://docs.google.com/spreadsheets/d/1XWAQStnk-4SwqDmLtmXYiTMKHgktTP8We1SCoS47DrQ/edit?usp=sharing"",""จัดที่ดิน!I38"")"),270)</f>
        <v>270</v>
      </c>
      <c r="K372" s="497">
        <f t="shared" ca="1" si="163"/>
        <v>45.302013422818789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IFERROR(__xludf.DUMMYFUNCTION("IMPORTRANGE(""https://docs.google.com/spreadsheets/d/1XWAQStnk-4SwqDmLtmXYiTMKHgktTP8We1SCoS47DrQ/edit?usp=sharing"",""จัดที่ดิน!J38"")"),1608.18)</f>
        <v>1608.18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IFERROR(__xludf.DUMMYFUNCTION("IMPORTRANGE(""https://docs.google.com/spreadsheets/d/1QqKyyYR6Q21VydFLVH3TRQUabQu_ym0Zz7PgGX0-kHA/edit?usp=sharing"",""แผน!EU38"")"),640)</f>
        <v>640</v>
      </c>
      <c r="J374" s="490">
        <f ca="1">J381</f>
        <v>440</v>
      </c>
      <c r="K374" s="491">
        <f t="shared" ca="1" si="163"/>
        <v>68.75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IFERROR(__xludf.DUMMYFUNCTION("IMPORTRANGE(""https://docs.google.com/spreadsheets/d/1XWAQStnk-4SwqDmLtmXYiTMKHgktTP8We1SCoS47DrQ/edit?usp=sharing"",""จัดที่ดิน!AH38"")"),81)</f>
        <v>81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IFERROR(__xludf.DUMMYFUNCTION("IMPORTRANGE(""https://docs.google.com/spreadsheets/d/1QqKyyYR6Q21VydFLVH3TRQUabQu_ym0Zz7PgGX0-kHA/edit?usp=sharing"",""แผน!ET38"")"),1000)</f>
        <v>1000</v>
      </c>
      <c r="J378" s="270">
        <f ca="1">IFERROR(__xludf.DUMMYFUNCTION("IMPORTRANGE(""https://docs.google.com/spreadsheets/d/1XWAQStnk-4SwqDmLtmXYiTMKHgktTP8We1SCoS47DrQ/edit?usp=sharing"",""จัดที่ดิน!AI38"")"),653.57)</f>
        <v>653.57000000000005</v>
      </c>
      <c r="K378" s="497">
        <f t="shared" ca="1" si="164"/>
        <v>65.357000000000014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IFERROR(__xludf.DUMMYFUNCTION("IMPORTRANGE(""https://docs.google.com/spreadsheets/d/1QqKyyYR6Q21VydFLVH3TRQUabQu_ym0Zz7PgGX0-kHA/edit?usp=sharing"",""แผน!EU38"")"),640)</f>
        <v>640</v>
      </c>
      <c r="J379" s="270">
        <f ca="1">IFERROR(__xludf.DUMMYFUNCTION("IMPORTRANGE(""https://docs.google.com/spreadsheets/d/1XWAQStnk-4SwqDmLtmXYiTMKHgktTP8We1SCoS47DrQ/edit?usp=sharing"",""จัดที่ดิน!AJ38"")"),443)</f>
        <v>443</v>
      </c>
      <c r="K379" s="497">
        <f t="shared" ca="1" si="164"/>
        <v>69.21875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IFERROR(__xludf.DUMMYFUNCTION("IMPORTRANGE(""https://docs.google.com/spreadsheets/d/1XWAQStnk-4SwqDmLtmXYiTMKHgktTP8We1SCoS47DrQ/edit?usp=sharing"",""จัดที่ดิน!AK38"")"),4557.12)</f>
        <v>4557.12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IFERROR(__xludf.DUMMYFUNCTION("IMPORTRANGE(""https://docs.google.com/spreadsheets/d/1QqKyyYR6Q21VydFLVH3TRQUabQu_ym0Zz7PgGX0-kHA/edit?usp=sharing"",""แผน!EU38"")"),640)</f>
        <v>640</v>
      </c>
      <c r="J381" s="270">
        <f ca="1">IFERROR(__xludf.DUMMYFUNCTION("IMPORTRANGE(""https://docs.google.com/spreadsheets/d/1XWAQStnk-4SwqDmLtmXYiTMKHgktTP8We1SCoS47DrQ/edit?usp=sharing"",""จัดที่ดิน!AL38"")"),440)</f>
        <v>440</v>
      </c>
      <c r="K381" s="497">
        <f t="shared" ca="1" si="164"/>
        <v>68.75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IFERROR(__xludf.DUMMYFUNCTION("IMPORTRANGE(""https://docs.google.com/spreadsheets/d/1XWAQStnk-4SwqDmLtmXYiTMKHgktTP8We1SCoS47DrQ/edit?usp=sharing"",""จัดที่ดิน!AM38"")"),4525.05999999999)</f>
        <v>4525.0599999999904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IFERROR(__xludf.DUMMYFUNCTION("IMPORTRANGE(""https://docs.google.com/spreadsheets/d/1QqKyyYR6Q21VydFLVH3TRQUabQu_ym0Zz7PgGX0-kHA/edit?usp=sharing"",""แผน!EW38"")"),50)</f>
        <v>50</v>
      </c>
      <c r="J385" s="504">
        <f ca="1">IFERROR(__xludf.DUMMYFUNCTION("IMPORTRANGE(""https://docs.google.com/spreadsheets/d/1XWAQStnk-4SwqDmLtmXYiTMKHgktTP8We1SCoS47DrQ/edit?usp=sharing"",""จัดที่ดิน!AP38"")"),6)</f>
        <v>6</v>
      </c>
      <c r="K385" s="505">
        <f ca="1">IF(I385&gt;0,J385*100/I385,0)</f>
        <v>12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IFERROR(__xludf.DUMMYFUNCTION("IMPORTRANGE(""https://docs.google.com/spreadsheets/d/1MeEWN-I1oV_STSDYn1IFDPWt_1FKiwhDph83XaGc0o0/edit?usp=sharing"",""งบพรบ!FG38"")"),0)</f>
        <v>0</v>
      </c>
      <c r="M394" s="93">
        <f ca="1">IFERROR(__xludf.DUMMYFUNCTION("IMPORTRANGE(""https://docs.google.com/spreadsheets/d/1MeEWN-I1oV_STSDYn1IFDPWt_1FKiwhDph83XaGc0o0/edit?usp=sharing"",""งบพรบ!FL38"")"),0)</f>
        <v>0</v>
      </c>
      <c r="N394" s="93">
        <f ca="1">IFERROR(__xludf.DUMMYFUNCTION("IMPORTRANGE(""https://docs.google.com/spreadsheets/d/1MeEWN-I1oV_STSDYn1IFDPWt_1FKiwhDph83XaGc0o0/edit?usp=sharing"",""งบพรบ!FN38"")"),0)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IFERROR(__xludf.DUMMYFUNCTION("IMPORTRANGE(""https://docs.google.com/spreadsheets/d/1MeEWN-I1oV_STSDYn1IFDPWt_1FKiwhDph83XaGc0o0/edit?usp=sharing"",""งบพรบ!FJ38"")"),0)</f>
        <v>0</v>
      </c>
      <c r="M397" s="93">
        <f ca="1">IFERROR(__xludf.DUMMYFUNCTION("IMPORTRANGE(""https://docs.google.com/spreadsheets/d/1MeEWN-I1oV_STSDYn1IFDPWt_1FKiwhDph83XaGc0o0/edit?usp=sharing"",""งบพรบ!FM38"")"),0)</f>
        <v>0</v>
      </c>
      <c r="N397" s="93">
        <f ca="1">IFERROR(__xludf.DUMMYFUNCTION("IMPORTRANGE(""https://docs.google.com/spreadsheets/d/1MeEWN-I1oV_STSDYn1IFDPWt_1FKiwhDph83XaGc0o0/edit?usp=sharing"",""งบพรบ!FO38"")"),0)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IFERROR(__xludf.DUMMYFUNCTION("IMPORTRANGE(""https://docs.google.com/spreadsheets/d/1MeEWN-I1oV_STSDYn1IFDPWt_1FKiwhDph83XaGc0o0/edit?usp=sharing"",""งบพรบ!FQ38"")"),0)</f>
        <v>0</v>
      </c>
      <c r="M407" s="93">
        <f ca="1">IFERROR(__xludf.DUMMYFUNCTION("IMPORTRANGE(""https://docs.google.com/spreadsheets/d/1MeEWN-I1oV_STSDYn1IFDPWt_1FKiwhDph83XaGc0o0/edit?usp=sharing"",""งบพรบ!FV38"")"),0)</f>
        <v>0</v>
      </c>
      <c r="N407" s="93">
        <f ca="1">IFERROR(__xludf.DUMMYFUNCTION("IMPORTRANGE(""https://docs.google.com/spreadsheets/d/1MeEWN-I1oV_STSDYn1IFDPWt_1FKiwhDph83XaGc0o0/edit?usp=sharing"",""งบพรบ!FX38"")"),0)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IFERROR(__xludf.DUMMYFUNCTION("IMPORTRANGE(""https://docs.google.com/spreadsheets/d/1MeEWN-I1oV_STSDYn1IFDPWt_1FKiwhDph83XaGc0o0/edit?usp=sharing"",""งบพรบ!FT38"")"),0)</f>
        <v>0</v>
      </c>
      <c r="M410" s="93">
        <f ca="1">IFERROR(__xludf.DUMMYFUNCTION("IMPORTRANGE(""https://docs.google.com/spreadsheets/d/1MeEWN-I1oV_STSDYn1IFDPWt_1FKiwhDph83XaGc0o0/edit?usp=sharing"",""งบพรบ!FW38"")"),0)</f>
        <v>0</v>
      </c>
      <c r="N410" s="93">
        <f ca="1">IFERROR(__xludf.DUMMYFUNCTION("IMPORTRANGE(""https://docs.google.com/spreadsheets/d/1MeEWN-I1oV_STSDYn1IFDPWt_1FKiwhDph83XaGc0o0/edit?usp=sharing"",""งบพรบ!FY38"")"),0)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3094033</v>
      </c>
      <c r="M414" s="552">
        <f t="shared" ca="1" si="181"/>
        <v>3094033</v>
      </c>
      <c r="N414" s="552">
        <f t="shared" si="181"/>
        <v>1349408.7</v>
      </c>
      <c r="O414" s="552">
        <f ca="1">IF(L414&gt;0,N414*100/L414,0)</f>
        <v>43.613261397018064</v>
      </c>
      <c r="P414" s="552">
        <f ca="1">IF(M414&gt;0,N414*100/M414,0)</f>
        <v>43.613261397018064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79660</v>
      </c>
      <c r="M419" s="155">
        <f t="shared" ca="1" si="184"/>
        <v>79660</v>
      </c>
      <c r="N419" s="155">
        <f t="shared" si="184"/>
        <v>47225</v>
      </c>
      <c r="O419" s="155">
        <f t="shared" ref="O419:O424" ca="1" si="185">IF(L419&gt;0,N419*100/L419,0)</f>
        <v>59.283203615365302</v>
      </c>
      <c r="P419" s="155">
        <f t="shared" ref="P419:P424" ca="1" si="186">IF(M419&gt;0,N419*100/M419,0)</f>
        <v>59.283203615365302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79660</v>
      </c>
      <c r="M421" s="93">
        <f t="shared" ca="1" si="187"/>
        <v>79660</v>
      </c>
      <c r="N421" s="93">
        <f t="shared" si="187"/>
        <v>47225</v>
      </c>
      <c r="O421" s="93">
        <f t="shared" ca="1" si="185"/>
        <v>59.283203615365302</v>
      </c>
      <c r="P421" s="93">
        <f t="shared" ca="1" si="186"/>
        <v>59.283203615365302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79660</v>
      </c>
      <c r="M422" s="497">
        <f t="shared" ca="1" si="188"/>
        <v>79660</v>
      </c>
      <c r="N422" s="497">
        <f t="shared" si="188"/>
        <v>47225</v>
      </c>
      <c r="O422" s="497">
        <f t="shared" ca="1" si="185"/>
        <v>59.283203615365302</v>
      </c>
      <c r="P422" s="497">
        <f t="shared" ca="1" si="186"/>
        <v>59.283203615365302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IFERROR(__xludf.DUMMYFUNCTION("IMPORTRANGE(""https://docs.google.com/spreadsheets/d/1QqKyyYR6Q21VydFLVH3TRQUabQu_ym0Zz7PgGX0-kHA/edit?usp=sharing"",""แผน!EY38"")"),79660)</f>
        <v>79660</v>
      </c>
      <c r="M424" s="93">
        <f ca="1">L424</f>
        <v>79660</v>
      </c>
      <c r="N424" s="93">
        <f>N425+N426+N427+N428</f>
        <v>47225</v>
      </c>
      <c r="O424" s="93">
        <f t="shared" ca="1" si="185"/>
        <v>59.283203615365302</v>
      </c>
      <c r="P424" s="93">
        <f t="shared" ca="1" si="186"/>
        <v>59.283203615365302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43675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3550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550</v>
      </c>
      <c r="J443" s="568">
        <f t="shared" si="196"/>
        <v>550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717500</v>
      </c>
      <c r="M444" s="195">
        <f t="shared" ca="1" si="197"/>
        <v>717500</v>
      </c>
      <c r="N444" s="195">
        <f t="shared" si="197"/>
        <v>612099</v>
      </c>
      <c r="O444" s="195">
        <f t="shared" ref="O444:O449" ca="1" si="198">IF(L444&gt;0,N444*100/L444,0)</f>
        <v>85.309965156794419</v>
      </c>
      <c r="P444" s="195">
        <f t="shared" ref="P444:P449" ca="1" si="199">IF(M444&gt;0,N444*100/M444,0)</f>
        <v>85.309965156794419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717500</v>
      </c>
      <c r="M446" s="93">
        <f t="shared" ca="1" si="200"/>
        <v>717500</v>
      </c>
      <c r="N446" s="93">
        <f t="shared" si="200"/>
        <v>612099</v>
      </c>
      <c r="O446" s="93">
        <f t="shared" ca="1" si="198"/>
        <v>85.309965156794419</v>
      </c>
      <c r="P446" s="93">
        <f t="shared" ca="1" si="199"/>
        <v>85.309965156794419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717500</v>
      </c>
      <c r="M447" s="497">
        <f t="shared" ca="1" si="201"/>
        <v>717500</v>
      </c>
      <c r="N447" s="497">
        <f t="shared" si="201"/>
        <v>612099</v>
      </c>
      <c r="O447" s="497">
        <f t="shared" ca="1" si="198"/>
        <v>85.309965156794419</v>
      </c>
      <c r="P447" s="497">
        <f t="shared" ca="1" si="199"/>
        <v>85.309965156794419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IFERROR(__xludf.DUMMYFUNCTION("IMPORTRANGE(""https://docs.google.com/spreadsheets/d/1QqKyyYR6Q21VydFLVH3TRQUabQu_ym0Zz7PgGX0-kHA/edit?usp=sharing"",""แผน!FJ38"")"),717500)</f>
        <v>717500</v>
      </c>
      <c r="M449" s="93">
        <f ca="1">L449</f>
        <v>717500</v>
      </c>
      <c r="N449" s="93">
        <f>N450+N451+N452+N453</f>
        <v>612099</v>
      </c>
      <c r="O449" s="93">
        <f t="shared" ca="1" si="198"/>
        <v>85.309965156794419</v>
      </c>
      <c r="P449" s="93">
        <f t="shared" ca="1" si="199"/>
        <v>85.309965156794419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88234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445825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65000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13040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IFERROR(__xludf.DUMMYFUNCTION("IMPORTRANGE(""https://docs.google.com/spreadsheets/d/1QqKyyYR6Q21VydFLVH3TRQUabQu_ym0Zz7PgGX0-kHA/edit?usp=sharing"",""แผน!FN38"")"),55)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IFERROR(__xludf.DUMMYFUNCTION("IMPORTRANGE(""https://docs.google.com/spreadsheets/d/1QqKyyYR6Q21VydFLVH3TRQUabQu_ym0Zz7PgGX0-kHA/edit?usp=sharing"",""แผน!FO38"")"),550)</f>
        <v>550</v>
      </c>
      <c r="J462" s="215">
        <v>550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IFERROR(__xludf.DUMMYFUNCTION("IMPORTRANGE(""https://docs.google.com/spreadsheets/d/1QqKyyYR6Q21VydFLVH3TRQUabQu_ym0Zz7PgGX0-kHA/edit?usp=sharing"",""แผน!FO38"")"),550)</f>
        <v>550</v>
      </c>
      <c r="J463" s="215">
        <v>550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IFERROR(__xludf.DUMMYFUNCTION("IMPORTRANGE(""https://docs.google.com/spreadsheets/d/1QqKyyYR6Q21VydFLVH3TRQUabQu_ym0Zz7PgGX0-kHA/edit?usp=sharing"",""แผน!FN38"")"),55)</f>
        <v>55</v>
      </c>
      <c r="J464" s="215">
        <v>55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IFERROR(__xludf.DUMMYFUNCTION("IMPORTRANGE(""https://docs.google.com/spreadsheets/d/1QqKyyYR6Q21VydFLVH3TRQUabQu_ym0Zz7PgGX0-kHA/edit?usp=sharing"",""แผน!FW38"")"),1300)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1168168</v>
      </c>
      <c r="M467" s="195">
        <f t="shared" ca="1" si="206"/>
        <v>1168168</v>
      </c>
      <c r="N467" s="195">
        <f t="shared" si="206"/>
        <v>219680.2</v>
      </c>
      <c r="O467" s="195">
        <f t="shared" ref="O467:O472" ca="1" si="207">IF(L467&gt;0,N467*100/L467,0)</f>
        <v>18.805531396169044</v>
      </c>
      <c r="P467" s="195">
        <f t="shared" ref="P467:P472" ca="1" si="208">IF(M467&gt;0,N467*100/M467,0)</f>
        <v>18.805531396169044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1168168</v>
      </c>
      <c r="M469" s="93">
        <f t="shared" ca="1" si="209"/>
        <v>1168168</v>
      </c>
      <c r="N469" s="93">
        <f t="shared" si="209"/>
        <v>219680.2</v>
      </c>
      <c r="O469" s="93">
        <f t="shared" ca="1" si="207"/>
        <v>18.805531396169044</v>
      </c>
      <c r="P469" s="93">
        <f t="shared" ca="1" si="208"/>
        <v>18.805531396169044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1168168</v>
      </c>
      <c r="M470" s="497">
        <f t="shared" ca="1" si="210"/>
        <v>1168168</v>
      </c>
      <c r="N470" s="497">
        <f t="shared" si="210"/>
        <v>219680.2</v>
      </c>
      <c r="O470" s="497">
        <f t="shared" ca="1" si="207"/>
        <v>18.805531396169044</v>
      </c>
      <c r="P470" s="497">
        <f t="shared" ca="1" si="208"/>
        <v>18.805531396169044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IFERROR(__xludf.DUMMYFUNCTION("IMPORTRANGE(""https://docs.google.com/spreadsheets/d/1QqKyyYR6Q21VydFLVH3TRQUabQu_ym0Zz7PgGX0-kHA/edit?usp=sharing"",""แผน!FS38"")"),1168168)</f>
        <v>1168168</v>
      </c>
      <c r="M472" s="93">
        <f ca="1">L472</f>
        <v>1168168</v>
      </c>
      <c r="N472" s="93">
        <f>N473+N474+N475+N476</f>
        <v>219680.2</v>
      </c>
      <c r="O472" s="93">
        <f t="shared" ca="1" si="207"/>
        <v>18.805531396169044</v>
      </c>
      <c r="P472" s="93">
        <f t="shared" ca="1" si="208"/>
        <v>18.805531396169044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146340.20000000001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65000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8340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52289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542720</v>
      </c>
      <c r="M544" s="155">
        <f t="shared" ca="1" si="236"/>
        <v>542720</v>
      </c>
      <c r="N544" s="155">
        <f t="shared" si="236"/>
        <v>251172.5</v>
      </c>
      <c r="O544" s="155">
        <f t="shared" ref="O544:O549" ca="1" si="237">IF(L544&gt;0,N544*100/L544,0)</f>
        <v>46.280310288915096</v>
      </c>
      <c r="P544" s="155">
        <f t="shared" ref="P544:P549" ca="1" si="238">IF(M544&gt;0,N544*100/M544,0)</f>
        <v>46.280310288915096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542720</v>
      </c>
      <c r="M546" s="93">
        <f t="shared" ca="1" si="240"/>
        <v>542720</v>
      </c>
      <c r="N546" s="93">
        <f t="shared" si="240"/>
        <v>251172.5</v>
      </c>
      <c r="O546" s="93">
        <f t="shared" ca="1" si="237"/>
        <v>46.280310288915096</v>
      </c>
      <c r="P546" s="93">
        <f t="shared" ca="1" si="238"/>
        <v>46.280310288915096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542720</v>
      </c>
      <c r="M547" s="497">
        <f t="shared" ca="1" si="241"/>
        <v>542720</v>
      </c>
      <c r="N547" s="497">
        <f t="shared" si="241"/>
        <v>251172.5</v>
      </c>
      <c r="O547" s="497">
        <f t="shared" ca="1" si="237"/>
        <v>46.280310288915096</v>
      </c>
      <c r="P547" s="497">
        <f t="shared" ca="1" si="238"/>
        <v>46.280310288915096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IFERROR(__xludf.DUMMYFUNCTION("IMPORTRANGE(""https://docs.google.com/spreadsheets/d/1QqKyyYR6Q21VydFLVH3TRQUabQu_ym0Zz7PgGX0-kHA/edit?usp=sharing"",""แผน!HB38"")"),542720)</f>
        <v>542720</v>
      </c>
      <c r="M549" s="93">
        <f ca="1">L549</f>
        <v>542720</v>
      </c>
      <c r="N549" s="93">
        <f>N550+N551+N552+N553+N554</f>
        <v>251172.5</v>
      </c>
      <c r="O549" s="93">
        <f t="shared" ca="1" si="237"/>
        <v>46.280310288915096</v>
      </c>
      <c r="P549" s="93">
        <f t="shared" ca="1" si="238"/>
        <v>46.280310288915096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65000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186172.5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52289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IFERROR(__xludf.DUMMYFUNCTION("IMPORTRANGE(""https://docs.google.com/spreadsheets/d/1QqKyyYR6Q21VydFLVH3TRQUabQu_ym0Zz7PgGX0-kHA/edit?usp=sharing"",""แผน!HH38"")"),52289)</f>
        <v>52289</v>
      </c>
      <c r="J560" s="193">
        <f t="shared" ref="J560:J561" si="247">J562+J564+J566</f>
        <v>52289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IFERROR(__xludf.DUMMYFUNCTION("IMPORTRANGE(""https://docs.google.com/spreadsheets/d/1QqKyyYR6Q21VydFLVH3TRQUabQu_ym0Zz7PgGX0-kHA/edit?usp=sharing"",""แผน!HG38"")"),5734)</f>
        <v>5734</v>
      </c>
      <c r="J561" s="193">
        <f t="shared" si="247"/>
        <v>5734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33275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4093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17713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1499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1301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142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IFERROR(__xludf.DUMMYFUNCTION("IMPORTRANGE(""https://docs.google.com/spreadsheets/d/1QqKyyYR6Q21VydFLVH3TRQUabQu_ym0Zz7PgGX0-kHA/edit?usp=sharing"",""แผน!HH38"")"),52289)</f>
        <v>52289</v>
      </c>
      <c r="J568" s="679">
        <f t="shared" ref="J568:J569" si="248">J570+J572+J574</f>
        <v>52289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IFERROR(__xludf.DUMMYFUNCTION("IMPORTRANGE(""https://docs.google.com/spreadsheets/d/1QqKyyYR6Q21VydFLVH3TRQUabQu_ym0Zz7PgGX0-kHA/edit?usp=sharing"",""แผน!HG38"")"),5734)</f>
        <v>5734</v>
      </c>
      <c r="J569" s="679">
        <f t="shared" si="248"/>
        <v>5734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38607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4489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12576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1106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126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IFERROR(__xludf.DUMMYFUNCTION("IMPORTRANGE(""https://docs.google.com/spreadsheets/d/1QqKyyYR6Q21VydFLVH3TRQUabQu_ym0Zz7PgGX0-kHA/edit?usp=sharing"",""แผน!HH38"")"),52289)</f>
        <v>52289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IFERROR(__xludf.DUMMYFUNCTION("IMPORTRANGE(""https://docs.google.com/spreadsheets/d/1QqKyyYR6Q21VydFLVH3TRQUabQu_ym0Zz7PgGX0-kHA/edit?usp=sharing"",""แผน!HG38"")"),5734)</f>
        <v>5734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7857.35</v>
      </c>
      <c r="J592" s="706">
        <f t="shared" si="253"/>
        <v>671</v>
      </c>
      <c r="K592" s="675">
        <f t="shared" ref="K592:K594" ca="1" si="254">IF(I592&gt;0,J592*100/I592,0)</f>
        <v>8.53977486048095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IFERROR(__xludf.DUMMYFUNCTION("IMPORTRANGE(""https://docs.google.com/spreadsheets/d/1QqKyyYR6Q21VydFLVH3TRQUabQu_ym0Zz7PgGX0-kHA/edit?usp=sharing"",""แผน!HJ38"")"),7857.35)</f>
        <v>7857.35</v>
      </c>
      <c r="J593" s="193">
        <f t="shared" ref="J593:J594" si="255">J595+J603+J609</f>
        <v>671</v>
      </c>
      <c r="K593" s="411">
        <f t="shared" ca="1" si="254"/>
        <v>8.53977486048095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IFERROR(__xludf.DUMMYFUNCTION("IMPORTRANGE(""https://docs.google.com/spreadsheets/d/1QqKyyYR6Q21VydFLVH3TRQUabQu_ym0Zz7PgGX0-kHA/edit?usp=sharing"",""แผน!HI38"")"),657)</f>
        <v>657</v>
      </c>
      <c r="J594" s="193">
        <f t="shared" si="255"/>
        <v>65</v>
      </c>
      <c r="K594" s="411">
        <f t="shared" ca="1" si="254"/>
        <v>9.8934550989345507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639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62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611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58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28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4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IFERROR(__xludf.DUMMYFUNCTION("IMPORTRANGE(""https://docs.google.com/spreadsheets/d/1QqKyyYR6Q21VydFLVH3TRQUabQu_ym0Zz7PgGX0-kHA/edit?usp=sharing"",""แผน!HL38"")"),56)</f>
        <v>56</v>
      </c>
      <c r="J620" s="726">
        <f t="shared" ref="J620:J621" si="260">J622+J624+J626</f>
        <v>56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IFERROR(__xludf.DUMMYFUNCTION("IMPORTRANGE(""https://docs.google.com/spreadsheets/d/1QqKyyYR6Q21VydFLVH3TRQUabQu_ym0Zz7PgGX0-kHA/edit?usp=sharing"",""แผน!HK38"")"),4)</f>
        <v>4</v>
      </c>
      <c r="J621" s="726">
        <f t="shared" si="260"/>
        <v>4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56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240</v>
      </c>
      <c r="J628" s="739">
        <f t="shared" ca="1" si="262"/>
        <v>134</v>
      </c>
      <c r="K628" s="740">
        <f ca="1">IF(I628&gt;0,J628*100/I628,0)</f>
        <v>55.833333333333336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501175</v>
      </c>
      <c r="M629" s="195">
        <f t="shared" ca="1" si="263"/>
        <v>501175</v>
      </c>
      <c r="N629" s="195">
        <f t="shared" si="263"/>
        <v>177323</v>
      </c>
      <c r="O629" s="195">
        <f t="shared" ref="O629:O634" ca="1" si="264">IF(L629&gt;0,N629*100/L629,0)</f>
        <v>35.38145358407742</v>
      </c>
      <c r="P629" s="195">
        <f t="shared" ref="P629:P634" ca="1" si="265">IF(M629&gt;0,N629*100/M629,0)</f>
        <v>35.38145358407742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501175</v>
      </c>
      <c r="M631" s="93">
        <f t="shared" ca="1" si="266"/>
        <v>501175</v>
      </c>
      <c r="N631" s="93">
        <f t="shared" si="266"/>
        <v>177323</v>
      </c>
      <c r="O631" s="93">
        <f t="shared" ca="1" si="264"/>
        <v>35.38145358407742</v>
      </c>
      <c r="P631" s="93">
        <f t="shared" ca="1" si="265"/>
        <v>35.38145358407742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501175</v>
      </c>
      <c r="M632" s="497">
        <f t="shared" ca="1" si="267"/>
        <v>501175</v>
      </c>
      <c r="N632" s="497">
        <f t="shared" si="267"/>
        <v>177323</v>
      </c>
      <c r="O632" s="497">
        <f t="shared" ca="1" si="264"/>
        <v>35.38145358407742</v>
      </c>
      <c r="P632" s="497">
        <f t="shared" ca="1" si="265"/>
        <v>35.38145358407742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IFERROR(__xludf.DUMMYFUNCTION("IMPORTRANGE(""https://docs.google.com/spreadsheets/d/1QqKyyYR6Q21VydFLVH3TRQUabQu_ym0Zz7PgGX0-kHA/edit?usp=sharing"",""แผน!HN38"")"),501175)</f>
        <v>501175</v>
      </c>
      <c r="M634" s="93">
        <f ca="1">L634</f>
        <v>501175</v>
      </c>
      <c r="N634" s="93">
        <f>N635+N636+N637+N638</f>
        <v>177323</v>
      </c>
      <c r="O634" s="93">
        <f t="shared" ca="1" si="264"/>
        <v>35.38145358407742</v>
      </c>
      <c r="P634" s="93">
        <f t="shared" ca="1" si="265"/>
        <v>35.38145358407742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914">
        <v>65000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112323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IFERROR(__xludf.DUMMYFUNCTION("IMPORTRANGE(""https://docs.google.com/spreadsheets/d/1QqKyyYR6Q21VydFLVH3TRQUabQu_ym0Zz7PgGX0-kHA/edit?usp=sharing"",""แผน!HR38"")"),1)</f>
        <v>1</v>
      </c>
      <c r="J643" s="215">
        <v>1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IFERROR(__xludf.DUMMYFUNCTION("IMPORTRANGE(""https://docs.google.com/spreadsheets/d/1QqKyyYR6Q21VydFLVH3TRQUabQu_ym0Zz7PgGX0-kHA/edit?usp=sharing"",""แผน!HR38"")"),1)</f>
        <v>1</v>
      </c>
      <c r="J644" s="215">
        <v>1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IFERROR(__xludf.DUMMYFUNCTION("IMPORTRANGE(""https://docs.google.com/spreadsheets/d/1QqKyyYR6Q21VydFLVH3TRQUabQu_ym0Zz7PgGX0-kHA/edit?usp=sharing"",""แผน!HS38"")"),240)</f>
        <v>240</v>
      </c>
      <c r="J647" s="270">
        <f ca="1">IFERROR(__xludf.DUMMYFUNCTION("IMPORTRANGE(""https://docs.google.com/spreadsheets/d/1XWAQStnk-4SwqDmLtmXYiTMKHgktTP8We1SCoS47DrQ/edit?usp=sharing"",""จัดที่ดิน!AU38"")"),136)</f>
        <v>136</v>
      </c>
      <c r="K647" s="163">
        <f t="shared" ca="1" si="271"/>
        <v>56.666666666666664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IFERROR(__xludf.DUMMYFUNCTION("IMPORTRANGE(""https://docs.google.com/spreadsheets/d/1XWAQStnk-4SwqDmLtmXYiTMKHgktTP8We1SCoS47DrQ/edit?usp=sharing"",""จัดที่ดิน!AV38"")"),67.24)</f>
        <v>67.239999999999995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IFERROR(__xludf.DUMMYFUNCTION("IMPORTRANGE(""https://docs.google.com/spreadsheets/d/1QqKyyYR6Q21VydFLVH3TRQUabQu_ym0Zz7PgGX0-kHA/edit?usp=sharing"",""แผน!HS38"")"),240)</f>
        <v>240</v>
      </c>
      <c r="J649" s="270">
        <f ca="1">IFERROR(__xludf.DUMMYFUNCTION("IMPORTRANGE(""https://docs.google.com/spreadsheets/d/1XWAQStnk-4SwqDmLtmXYiTMKHgktTP8We1SCoS47DrQ/edit?usp=sharing"",""จัดที่ดิน!AW38"")"),135)</f>
        <v>135</v>
      </c>
      <c r="K649" s="163">
        <f t="shared" ca="1" si="271"/>
        <v>56.25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IFERROR(__xludf.DUMMYFUNCTION("IMPORTRANGE(""https://docs.google.com/spreadsheets/d/1XWAQStnk-4SwqDmLtmXYiTMKHgktTP8We1SCoS47DrQ/edit?usp=sharing"",""จัดที่ดิน!AX38"")"),67.12)</f>
        <v>67.12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IFERROR(__xludf.DUMMYFUNCTION("IMPORTRANGE(""https://docs.google.com/spreadsheets/d/1QqKyyYR6Q21VydFLVH3TRQUabQu_ym0Zz7PgGX0-kHA/edit?usp=sharing"",""แผน!HS38"")"),240)</f>
        <v>240</v>
      </c>
      <c r="J651" s="270">
        <f ca="1">IFERROR(__xludf.DUMMYFUNCTION("IMPORTRANGE(""https://docs.google.com/spreadsheets/d/1XWAQStnk-4SwqDmLtmXYiTMKHgktTP8We1SCoS47DrQ/edit?usp=sharing"",""จัดที่ดิน!AY38"")"),134)</f>
        <v>134</v>
      </c>
      <c r="K651" s="163">
        <f t="shared" ca="1" si="271"/>
        <v>55.833333333333336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IFERROR(__xludf.DUMMYFUNCTION("IMPORTRANGE(""https://docs.google.com/spreadsheets/d/1XWAQStnk-4SwqDmLtmXYiTMKHgktTP8We1SCoS47DrQ/edit?usp=sharing"",""จัดที่ดิน!AZ38"")"),66.5475)</f>
        <v>66.547499999999999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5180</v>
      </c>
      <c r="O655" s="195">
        <f t="shared" ref="O655:O660" ca="1" si="274">IF(L655&gt;0,N655*100/L655,0)</f>
        <v>33.205128205128204</v>
      </c>
      <c r="P655" s="195">
        <f t="shared" ref="P655:P660" ca="1" si="275">IF(M655&gt;0,N655*100/M655,0)</f>
        <v>33.205128205128204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5180</v>
      </c>
      <c r="O657" s="93">
        <f t="shared" ca="1" si="274"/>
        <v>33.205128205128204</v>
      </c>
      <c r="P657" s="93">
        <f t="shared" ca="1" si="275"/>
        <v>33.205128205128204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5180</v>
      </c>
      <c r="O658" s="497">
        <f t="shared" ca="1" si="274"/>
        <v>33.205128205128204</v>
      </c>
      <c r="P658" s="497">
        <f t="shared" ca="1" si="275"/>
        <v>33.205128205128204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IFERROR(__xludf.DUMMYFUNCTION("IMPORTRANGE(""https://docs.google.com/spreadsheets/d/1QqKyyYR6Q21VydFLVH3TRQUabQu_ym0Zz7PgGX0-kHA/edit?usp=sharing"",""แผน!HV38"")"),15600)</f>
        <v>15600</v>
      </c>
      <c r="M660" s="93">
        <f ca="1">L660</f>
        <v>15600</v>
      </c>
      <c r="N660" s="93">
        <f>N661+N662+N663+N664</f>
        <v>5180</v>
      </c>
      <c r="O660" s="93">
        <f t="shared" ca="1" si="274"/>
        <v>33.205128205128204</v>
      </c>
      <c r="P660" s="93">
        <f t="shared" ca="1" si="275"/>
        <v>33.205128205128204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5180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IFERROR(__xludf.DUMMYFUNCTION("IMPORTRANGE(""https://docs.google.com/spreadsheets/d/1QqKyyYR6Q21VydFLVH3TRQUabQu_ym0Zz7PgGX0-kHA/edit?usp=sharing"",""แผน!HZ38"")"),6)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IFERROR(__xludf.DUMMYFUNCTION("IMPORTRANGE(""https://docs.google.com/spreadsheets/d/1QqKyyYR6Q21VydFLVH3TRQUabQu_ym0Zz7PgGX0-kHA/edit?usp=sharing"",""แผน!HZ38"")"),6)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915">
        <v>77.23</v>
      </c>
      <c r="K672" s="497">
        <f t="shared" ref="K672:K675" ca="1" si="281">IF(I$669&gt;0,J672*100/I$669,0)</f>
        <v>77.23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915">
        <v>77.23</v>
      </c>
      <c r="K673" s="497">
        <f t="shared" ca="1" si="281"/>
        <v>77.23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69210</v>
      </c>
      <c r="M685" s="195">
        <f t="shared" ca="1" si="282"/>
        <v>69210</v>
      </c>
      <c r="N685" s="195">
        <f t="shared" si="282"/>
        <v>36729</v>
      </c>
      <c r="O685" s="195">
        <f t="shared" ref="O685:O688" ca="1" si="283">IF(L685&gt;0,N685*100/L685,0)</f>
        <v>53.068920676202858</v>
      </c>
      <c r="P685" s="195">
        <f t="shared" ref="P685:P688" ca="1" si="284">IF(M685&gt;0,N685*100/M685,0)</f>
        <v>53.068920676202858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69210</v>
      </c>
      <c r="M687" s="93">
        <f t="shared" ca="1" si="285"/>
        <v>69210</v>
      </c>
      <c r="N687" s="93">
        <f t="shared" si="285"/>
        <v>36729</v>
      </c>
      <c r="O687" s="93">
        <f t="shared" ca="1" si="283"/>
        <v>53.068920676202858</v>
      </c>
      <c r="P687" s="93">
        <f t="shared" ca="1" si="284"/>
        <v>53.068920676202858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69210</v>
      </c>
      <c r="M688" s="497">
        <f t="shared" ca="1" si="286"/>
        <v>69210</v>
      </c>
      <c r="N688" s="497">
        <f t="shared" si="286"/>
        <v>36729</v>
      </c>
      <c r="O688" s="497">
        <f t="shared" ca="1" si="283"/>
        <v>53.068920676202858</v>
      </c>
      <c r="P688" s="497">
        <f t="shared" ca="1" si="284"/>
        <v>53.068920676202858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IFERROR(__xludf.DUMMYFUNCTION("IMPORTRANGE(""https://docs.google.com/spreadsheets/d/1QqKyyYR6Q21VydFLVH3TRQUabQu_ym0Zz7PgGX0-kHA/edit?usp=sharing"",""แผน!HW38"")"),69210)</f>
        <v>69210</v>
      </c>
      <c r="M690" s="93">
        <f ca="1">L690</f>
        <v>69210</v>
      </c>
      <c r="N690" s="93">
        <f>N691+N692+N693+N694</f>
        <v>36729</v>
      </c>
      <c r="O690" s="93">
        <f ca="1">IF(L690&gt;0,N690*100/L690,0)</f>
        <v>53.068920676202858</v>
      </c>
      <c r="P690" s="93">
        <f ca="1">IF(M690&gt;0,N690*100/M690,0)</f>
        <v>53.068920676202858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36729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IFERROR(__xludf.DUMMYFUNCTION("IMPORTRANGE(""https://docs.google.com/spreadsheets/d/1QqKyyYR6Q21VydFLVH3TRQUabQu_ym0Zz7PgGX0-kHA/edit?usp=sharing"",""แผน!IC38"")"),0)</f>
        <v>0</v>
      </c>
      <c r="J699" s="270">
        <f ca="1">IFERROR(__xludf.DUMMYFUNCTION("IMPORTRANGE(""https://docs.google.com/spreadsheets/d/1XWAQStnk-4SwqDmLtmXYiTMKHgktTP8We1SCoS47DrQ/edit?usp=sharing"",""จัดที่ดิน!BB38"")"),0)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IFERROR(__xludf.DUMMYFUNCTION("IMPORTRANGE(""https://docs.google.com/spreadsheets/d/1QqKyyYR6Q21VydFLVH3TRQUabQu_ym0Zz7PgGX0-kHA/edit?usp=sharing"",""แผน!ID38"")"),0)</f>
        <v>0</v>
      </c>
      <c r="J700" s="270">
        <f ca="1">IFERROR(__xludf.DUMMYFUNCTION("IMPORTRANGE(""https://docs.google.com/spreadsheets/d/1XWAQStnk-4SwqDmLtmXYiTMKHgktTP8We1SCoS47DrQ/edit?usp=sharing"",""จัดที่ดิน!BD38"")"),0)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IFERROR(__xludf.DUMMYFUNCTION("IMPORTRANGE(""https://docs.google.com/spreadsheets/d/1QqKyyYR6Q21VydFLVH3TRQUabQu_ym0Zz7PgGX0-kHA/edit?usp=sharing"",""แผน!IE38"")"),10)</f>
        <v>10</v>
      </c>
      <c r="J701" s="679">
        <f>J704+J707</f>
        <v>75</v>
      </c>
      <c r="K701" s="195">
        <f t="shared" ca="1" si="290"/>
        <v>750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8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12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IFERROR(__xludf.DUMMYFUNCTION("IMPORTRANGE(""https://docs.google.com/spreadsheets/d/1QqKyyYR6Q21VydFLVH3TRQUabQu_ym0Zz7PgGX0-kHA/edit?usp=sharing"",""แผน!IF38"")"),10)</f>
        <v>10</v>
      </c>
      <c r="J704" s="215">
        <v>75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IFERROR(__xludf.DUMMYFUNCTION("IMPORTRANGE(""https://docs.google.com/spreadsheets/d/1QqKyyYR6Q21VydFLVH3TRQUabQu_ym0Zz7PgGX0-kHA/edit?usp=sharing"",""แผน!IH38"")"),0)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IFERROR(__xludf.DUMMYFUNCTION("IMPORTRANGE(""https://docs.google.com/spreadsheets/d/1QqKyyYR6Q21VydFLVH3TRQUabQu_ym0Zz7PgGX0-kHA/edit?usp=sharing"",""แผน!II38"")"),69)</f>
        <v>69</v>
      </c>
      <c r="J720" s="270">
        <f ca="1">IFERROR(__xludf.DUMMYFUNCTION("IMPORTRANGE(""https://docs.google.com/spreadsheets/d/1XWAQStnk-4SwqDmLtmXYiTMKHgktTP8We1SCoS47DrQ/edit?usp=sharing"",""จัดที่ดิน!BH38"")"),0)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IFERROR(__xludf.DUMMYFUNCTION("IMPORTRANGE(""https://docs.google.com/spreadsheets/d/1QqKyyYR6Q21VydFLVH3TRQUabQu_ym0Zz7PgGX0-kHA/edit?usp=sharing"",""แผน!IJ38"")"),2)</f>
        <v>2</v>
      </c>
      <c r="J721" s="679">
        <f ca="1">J723+J726</f>
        <v>2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IFERROR(__xludf.DUMMYFUNCTION("IMPORTRANGE(""https://docs.google.com/spreadsheets/d/1QqKyyYR6Q21VydFLVH3TRQUabQu_ym0Zz7PgGX0-kHA/edit?usp=sharing"",""แผน!IK38"")"),10)</f>
        <v>10</v>
      </c>
      <c r="J722" s="679">
        <f ca="1">J725+J728</f>
        <v>11.01</v>
      </c>
      <c r="K722" s="195">
        <f t="shared" ca="1" si="291"/>
        <v>110.1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IFERROR(__xludf.DUMMYFUNCTION("IMPORTRANGE(""https://docs.google.com/spreadsheets/d/1QqKyyYR6Q21VydFLVH3TRQUabQu_ym0Zz7PgGX0-kHA/edit?usp=sharing"",""แผน!IL38"")"),2)</f>
        <v>2</v>
      </c>
      <c r="J723" s="270">
        <f ca="1">IFERROR(__xludf.DUMMYFUNCTION("IMPORTRANGE(""https://docs.google.com/spreadsheets/d/1XWAQStnk-4SwqDmLtmXYiTMKHgktTP8We1SCoS47DrQ/edit?usp=sharing"",""จัดที่ดิน!BM38"")"),2)</f>
        <v>2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IFERROR(__xludf.DUMMYFUNCTION("IMPORTRANGE(""https://docs.google.com/spreadsheets/d/1XWAQStnk-4SwqDmLtmXYiTMKHgktTP8We1SCoS47DrQ/edit?usp=sharing"",""จัดที่ดิน!BN38"")"),2)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IFERROR(__xludf.DUMMYFUNCTION("IMPORTRANGE(""https://docs.google.com/spreadsheets/d/1QqKyyYR6Q21VydFLVH3TRQUabQu_ym0Zz7PgGX0-kHA/edit?usp=sharing"",""แผน!IM38"")"),10)</f>
        <v>10</v>
      </c>
      <c r="J725" s="270">
        <f ca="1">IFERROR(__xludf.DUMMYFUNCTION("IMPORTRANGE(""https://docs.google.com/spreadsheets/d/1XWAQStnk-4SwqDmLtmXYiTMKHgktTP8We1SCoS47DrQ/edit?usp=sharing"",""จัดที่ดิน!BO38"")"),11.01)</f>
        <v>11.01</v>
      </c>
      <c r="K725" s="497">
        <f t="shared" ref="K725:K726" ca="1" si="292">IF(I725&gt;0,J725*100/I725,0)</f>
        <v>110.1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IFERROR(__xludf.DUMMYFUNCTION("IMPORTRANGE(""https://docs.google.com/spreadsheets/d/1QqKyyYR6Q21VydFLVH3TRQUabQu_ym0Zz7PgGX0-kHA/edit?usp=sharing"",""แผน!IN38"")"),0)</f>
        <v>0</v>
      </c>
      <c r="J726" s="270">
        <f ca="1">IFERROR(__xludf.DUMMYFUNCTION("IMPORTRANGE(""https://docs.google.com/spreadsheets/d/1XWAQStnk-4SwqDmLtmXYiTMKHgktTP8We1SCoS47DrQ/edit?usp=sharing"",""จัดที่ดิน!BR38"")"),0)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IFERROR(__xludf.DUMMYFUNCTION("IMPORTRANGE(""https://docs.google.com/spreadsheets/d/1QqKyyYR6Q21VydFLVH3TRQUabQu_ym0Zz7PgGX0-kHA/edit?usp=sharing"",""แผน!IO38"")"),0)</f>
        <v>0</v>
      </c>
      <c r="J728" s="270">
        <f ca="1">IFERROR(__xludf.DUMMYFUNCTION("IMPORTRANGE(""https://docs.google.com/spreadsheets/d/1XWAQStnk-4SwqDmLtmXYiTMKHgktTP8We1SCoS47DrQ/edit?usp=sharing"",""จัดที่ดิน!BT38"")"),0)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IFERROR(__xludf.DUMMYFUNCTION("IMPORTRANGE(""https://docs.google.com/spreadsheets/d/1QqKyyYR6Q21VydFLVH3TRQUabQu_ym0Zz7PgGX0-kHA/edit?usp=sharing"",""แผน!IP38"")"),657)</f>
        <v>657</v>
      </c>
      <c r="J729" s="679">
        <f>J732+J735</f>
        <v>333</v>
      </c>
      <c r="K729" s="195">
        <f t="shared" ca="1" si="293"/>
        <v>50.684931506849317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46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60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56">
        <v>333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IFERROR(__xludf.DUMMYFUNCTION("IMPORTRANGE(""https://docs.google.com/spreadsheets/d/1QqKyyYR6Q21VydFLVH3TRQUabQu_ym0Zz7PgGX0-kHA/edit?usp=sharing"",""แผน!JN38"")"),0)</f>
        <v>0</v>
      </c>
      <c r="J800" s="184">
        <f ca="1">IFERROR(__xludf.DUMMYFUNCTION("IMPORTRANGE(""https://docs.google.com/spreadsheets/d/1MaWodYyGHDf7siQLGxnXhG4mBNTNIuy296niS2xXulU/edit?usp=sharing"",""RTK!H38"")"),0)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IFERROR(__xludf.DUMMYFUNCTION("IMPORTRANGE(""https://docs.google.com/spreadsheets/d/1MaWodYyGHDf7siQLGxnXhG4mBNTNIuy296niS2xXulU/edit?usp=sharing"",""RTK!I38"")"),0)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270">
        <f ca="1">IFERROR(__xludf.DUMMYFUNCTION("IMPORTRANGE(""https://docs.google.com/spreadsheets/d/19vJNZY_5yjcGF2XGBMNZRCAIB0Kwfpjp8YEOfu-bneM/edit?usp=sharing"",""งานกองทุน!F38"")"),2001895.15)</f>
        <v>2001895.15</v>
      </c>
      <c r="K821" s="497">
        <f t="shared" ref="K821:K828" ca="1" si="335">IF(I821&gt;0,J821*100/I821,0)</f>
        <v>39.756558873007037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IFERROR(__xludf.DUMMYFUNCTION("IMPORTRANGE(""https://docs.google.com/spreadsheets/d/19vJNZY_5yjcGF2XGBMNZRCAIB0Kwfpjp8YEOfu-bneM/edit?usp=sharing"",""งานกองทุน!C38"")"),294)</f>
        <v>294</v>
      </c>
      <c r="J822" s="270">
        <f ca="1">IFERROR(__xludf.DUMMYFUNCTION("IMPORTRANGE(""https://docs.google.com/spreadsheets/d/19vJNZY_5yjcGF2XGBMNZRCAIB0Kwfpjp8YEOfu-bneM/edit?usp=sharing"",""งานกองทุน!E38"")"),115)</f>
        <v>115</v>
      </c>
      <c r="K822" s="497">
        <f t="shared" ca="1" si="335"/>
        <v>39.115646258503403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270">
        <f ca="1">IFERROR(__xludf.DUMMYFUNCTION("IMPORTRANGE(""https://docs.google.com/spreadsheets/d/19vJNZY_5yjcGF2XGBMNZRCAIB0Kwfpjp8YEOfu-bneM/edit?usp=sharing"",""งานกองทุน!K38"")"),811872.64)</f>
        <v>811872.64</v>
      </c>
      <c r="K823" s="497">
        <f t="shared" ca="1" si="335"/>
        <v>29.493413053214621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IFERROR(__xludf.DUMMYFUNCTION("IMPORTRANGE(""https://docs.google.com/spreadsheets/d/19vJNZY_5yjcGF2XGBMNZRCAIB0Kwfpjp8YEOfu-bneM/edit?usp=sharing"",""งานกองทุน!H38"")"),134)</f>
        <v>134</v>
      </c>
      <c r="J824" s="270">
        <f ca="1">IFERROR(__xludf.DUMMYFUNCTION("IMPORTRANGE(""https://docs.google.com/spreadsheets/d/19vJNZY_5yjcGF2XGBMNZRCAIB0Kwfpjp8YEOfu-bneM/edit?usp=sharing"",""งานกองทุน!J38"")"),70)</f>
        <v>70</v>
      </c>
      <c r="K824" s="497">
        <f t="shared" ca="1" si="335"/>
        <v>52.238805970149251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270">
        <f ca="1">IFERROR(__xludf.DUMMYFUNCTION("IMPORTRANGE(""https://docs.google.com/spreadsheets/d/19vJNZY_5yjcGF2XGBMNZRCAIB0Kwfpjp8YEOfu-bneM/edit?usp=sharing"",""งานกองทุน!P38"")"),865560.14)</f>
        <v>865560.14</v>
      </c>
      <c r="K825" s="497">
        <f t="shared" ca="1" si="335"/>
        <v>35.269756300513336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IFERROR(__xludf.DUMMYFUNCTION("IMPORTRANGE(""https://docs.google.com/spreadsheets/d/19vJNZY_5yjcGF2XGBMNZRCAIB0Kwfpjp8YEOfu-bneM/edit?usp=sharing"",""งานกองทุน!M38"")"),234)</f>
        <v>234</v>
      </c>
      <c r="J826" s="270">
        <f ca="1">IFERROR(__xludf.DUMMYFUNCTION("IMPORTRANGE(""https://docs.google.com/spreadsheets/d/19vJNZY_5yjcGF2XGBMNZRCAIB0Kwfpjp8YEOfu-bneM/edit?usp=sharing"",""งานกองทุน!O38"")"),148)</f>
        <v>148</v>
      </c>
      <c r="K826" s="497">
        <f t="shared" ca="1" si="335"/>
        <v>63.247863247863251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IFERROR(__xludf.DUMMYFUNCTION("IMPORTRANGE(""https://docs.google.com/spreadsheets/d/19vJNZY_5yjcGF2XGBMNZRCAIB0Kwfpjp8YEOfu-bneM/edit?usp=sharing"",""งานกองทุน!S38"")"),3950000)</f>
        <v>3950000</v>
      </c>
      <c r="J827" s="270">
        <f ca="1">IFERROR(__xludf.DUMMYFUNCTION("IMPORTRANGE(""https://docs.google.com/spreadsheets/d/19vJNZY_5yjcGF2XGBMNZRCAIB0Kwfpjp8YEOfu-bneM/edit?usp=sharing"",""งานกองทุน!U38"")"),2000000)</f>
        <v>2000000</v>
      </c>
      <c r="K827" s="497">
        <f t="shared" ca="1" si="335"/>
        <v>50.632911392405063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IFERROR(__xludf.DUMMYFUNCTION("IMPORTRANGE(""https://docs.google.com/spreadsheets/d/19vJNZY_5yjcGF2XGBMNZRCAIB0Kwfpjp8YEOfu-bneM/edit?usp=sharing"",""งานกองทุน!R38"")"),158)</f>
        <v>158</v>
      </c>
      <c r="J828" s="504">
        <f ca="1">IFERROR(__xludf.DUMMYFUNCTION("IMPORTRANGE(""https://docs.google.com/spreadsheets/d/19vJNZY_5yjcGF2XGBMNZRCAIB0Kwfpjp8YEOfu-bneM/edit?usp=sharing"",""งานกองทุน!T38"")"),79)</f>
        <v>79</v>
      </c>
      <c r="K828" s="505">
        <f t="shared" ca="1" si="335"/>
        <v>50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6E4A9-6CFB-4B31-8F4B-31297DE9701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7.85546875" bestFit="1" customWidth="1"/>
    <col min="10" max="10" width="16.140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360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6783741</v>
      </c>
      <c r="M8" s="22">
        <f t="shared" ca="1" si="0"/>
        <v>6060888</v>
      </c>
      <c r="N8" s="22">
        <f t="shared" ca="1" si="0"/>
        <v>3403831.8499999996</v>
      </c>
      <c r="O8" s="22">
        <f t="shared" ref="O8:O16" ca="1" si="1">IF(L8&gt;0,N8*100/L8,0)</f>
        <v>50.176323801277192</v>
      </c>
      <c r="P8" s="22">
        <f t="shared" ref="P8:P16" ca="1" si="2">IF(M8&gt;0,N8*100/M8,0)</f>
        <v>56.16061293328633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6783741</v>
      </c>
      <c r="M10" s="30">
        <f t="shared" ca="1" si="3"/>
        <v>6060888</v>
      </c>
      <c r="N10" s="30">
        <f t="shared" ca="1" si="3"/>
        <v>3403831.8499999996</v>
      </c>
      <c r="O10" s="30">
        <f t="shared" ca="1" si="1"/>
        <v>50.176323801277192</v>
      </c>
      <c r="P10" s="30">
        <f t="shared" ca="1" si="2"/>
        <v>56.16061293328633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6202741</v>
      </c>
      <c r="M11" s="497">
        <f t="shared" ca="1" si="4"/>
        <v>5479888</v>
      </c>
      <c r="N11" s="497">
        <f t="shared" ca="1" si="4"/>
        <v>2822831.8499999996</v>
      </c>
      <c r="O11" s="497">
        <f t="shared" ca="1" si="1"/>
        <v>45.509426397136352</v>
      </c>
      <c r="P11" s="497">
        <f t="shared" ca="1" si="2"/>
        <v>51.51258292140276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6202741</v>
      </c>
      <c r="M13" s="93">
        <f t="shared" ca="1" si="5"/>
        <v>5479888</v>
      </c>
      <c r="N13" s="93">
        <f t="shared" ca="1" si="5"/>
        <v>2822831.8499999996</v>
      </c>
      <c r="O13" s="93">
        <f t="shared" ca="1" si="1"/>
        <v>45.509426397136352</v>
      </c>
      <c r="P13" s="93">
        <f t="shared" ca="1" si="2"/>
        <v>51.51258292140276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581000</v>
      </c>
      <c r="M14" s="497">
        <f t="shared" ca="1" si="6"/>
        <v>581000</v>
      </c>
      <c r="N14" s="497">
        <f t="shared" ca="1" si="6"/>
        <v>581000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581000</v>
      </c>
      <c r="M16" s="52">
        <f t="shared" ca="1" si="7"/>
        <v>581000</v>
      </c>
      <c r="N16" s="52">
        <f t="shared" ca="1" si="7"/>
        <v>581000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4351011</v>
      </c>
      <c r="M18" s="22">
        <f t="shared" ca="1" si="8"/>
        <v>3629836</v>
      </c>
      <c r="N18" s="22">
        <f t="shared" ca="1" si="8"/>
        <v>2713247.4499999997</v>
      </c>
      <c r="O18" s="22">
        <f t="shared" ref="O18:O26" ca="1" si="9">IF(L18&gt;0,N18*100/L18,0)</f>
        <v>62.359011503303485</v>
      </c>
      <c r="P18" s="22">
        <f t="shared" ref="P18:P26" ca="1" si="10">IF(M18&gt;0,N18*100/M18,0)</f>
        <v>74.74848588200679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4351011</v>
      </c>
      <c r="M20" s="30">
        <f t="shared" ca="1" si="11"/>
        <v>3629836</v>
      </c>
      <c r="N20" s="30">
        <f t="shared" ca="1" si="11"/>
        <v>2713247.4499999997</v>
      </c>
      <c r="O20" s="30">
        <f t="shared" ca="1" si="9"/>
        <v>62.359011503303485</v>
      </c>
      <c r="P20" s="30">
        <f t="shared" ca="1" si="10"/>
        <v>74.74848588200679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3770011</v>
      </c>
      <c r="M21" s="497">
        <f t="shared" ca="1" si="12"/>
        <v>3048836</v>
      </c>
      <c r="N21" s="497">
        <f t="shared" ca="1" si="12"/>
        <v>2132247.4499999997</v>
      </c>
      <c r="O21" s="497">
        <f t="shared" ca="1" si="9"/>
        <v>56.558122774708075</v>
      </c>
      <c r="P21" s="497">
        <f t="shared" ca="1" si="10"/>
        <v>69.936442957246626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3770011</v>
      </c>
      <c r="M23" s="93">
        <f t="shared" ca="1" si="13"/>
        <v>3048836</v>
      </c>
      <c r="N23" s="93">
        <f t="shared" ca="1" si="13"/>
        <v>2132247.4499999997</v>
      </c>
      <c r="O23" s="93">
        <f t="shared" ca="1" si="9"/>
        <v>56.558122774708075</v>
      </c>
      <c r="P23" s="93">
        <f t="shared" ca="1" si="10"/>
        <v>69.936442957246626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581000</v>
      </c>
      <c r="M24" s="497">
        <f t="shared" ca="1" si="14"/>
        <v>581000</v>
      </c>
      <c r="N24" s="497">
        <f t="shared" ca="1" si="14"/>
        <v>581000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581000</v>
      </c>
      <c r="M26" s="52">
        <f t="shared" ca="1" si="15"/>
        <v>581000</v>
      </c>
      <c r="N26" s="52">
        <f t="shared" ca="1" si="15"/>
        <v>581000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2432730</v>
      </c>
      <c r="M28" s="22">
        <f t="shared" ca="1" si="16"/>
        <v>2431052</v>
      </c>
      <c r="N28" s="22">
        <f t="shared" si="16"/>
        <v>690584.4</v>
      </c>
      <c r="O28" s="22">
        <f t="shared" ref="O28:O37" ca="1" si="17">IF(L28&gt;0,N28*100/L28,0)</f>
        <v>28.387219296839355</v>
      </c>
      <c r="P28" s="22">
        <f t="shared" ref="P28:P37" ca="1" si="18">IF(M28&gt;0,N28*100/M28,0)</f>
        <v>28.406813182112106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2432730</v>
      </c>
      <c r="M30" s="30">
        <f t="shared" ca="1" si="19"/>
        <v>2431052</v>
      </c>
      <c r="N30" s="30">
        <f t="shared" si="19"/>
        <v>690584.4</v>
      </c>
      <c r="O30" s="30">
        <f t="shared" ca="1" si="17"/>
        <v>28.387219296839355</v>
      </c>
      <c r="P30" s="30">
        <f t="shared" ca="1" si="18"/>
        <v>28.406813182112106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2432730</v>
      </c>
      <c r="M31" s="497">
        <f t="shared" ca="1" si="20"/>
        <v>2431052</v>
      </c>
      <c r="N31" s="497">
        <f t="shared" si="20"/>
        <v>690584.4</v>
      </c>
      <c r="O31" s="497">
        <f t="shared" ca="1" si="17"/>
        <v>28.387219296839355</v>
      </c>
      <c r="P31" s="497">
        <f t="shared" ca="1" si="18"/>
        <v>28.406813182112106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2432730</v>
      </c>
      <c r="M33" s="93">
        <f t="shared" ca="1" si="21"/>
        <v>2431052</v>
      </c>
      <c r="N33" s="93">
        <f t="shared" si="21"/>
        <v>690584.4</v>
      </c>
      <c r="O33" s="93">
        <f t="shared" ca="1" si="17"/>
        <v>28.387219296839355</v>
      </c>
      <c r="P33" s="93">
        <f t="shared" ca="1" si="18"/>
        <v>28.406813182112106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4351011</v>
      </c>
      <c r="M37" s="870">
        <f t="shared" ca="1" si="24"/>
        <v>3629836</v>
      </c>
      <c r="N37" s="870">
        <f t="shared" ca="1" si="24"/>
        <v>2713247.4499999997</v>
      </c>
      <c r="O37" s="870">
        <f t="shared" ca="1" si="17"/>
        <v>62.359011503303485</v>
      </c>
      <c r="P37" s="870">
        <f t="shared" ca="1" si="18"/>
        <v>74.74848588200679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514296</v>
      </c>
      <c r="M41" s="85">
        <f t="shared" ca="1" si="25"/>
        <v>529676</v>
      </c>
      <c r="N41" s="85">
        <f t="shared" ca="1" si="25"/>
        <v>342997</v>
      </c>
      <c r="O41" s="85">
        <f t="shared" ref="O41:O49" ca="1" si="26">IF(L41&gt;0,N41*100/L41,0)</f>
        <v>66.692527260565896</v>
      </c>
      <c r="P41" s="85">
        <f t="shared" ref="P41:P49" ca="1" si="27">IF(M41&gt;0,N41*100/M41,0)</f>
        <v>64.756001782221588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514296</v>
      </c>
      <c r="M43" s="92">
        <f t="shared" ca="1" si="28"/>
        <v>529676</v>
      </c>
      <c r="N43" s="92">
        <f t="shared" ca="1" si="28"/>
        <v>342997</v>
      </c>
      <c r="O43" s="92">
        <f t="shared" ca="1" si="26"/>
        <v>66.692527260565896</v>
      </c>
      <c r="P43" s="92">
        <f t="shared" ca="1" si="27"/>
        <v>64.756001782221588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514296</v>
      </c>
      <c r="M44" s="497">
        <f t="shared" ca="1" si="29"/>
        <v>529676</v>
      </c>
      <c r="N44" s="497">
        <f t="shared" ca="1" si="29"/>
        <v>342997</v>
      </c>
      <c r="O44" s="497">
        <f t="shared" ca="1" si="26"/>
        <v>66.692527260565896</v>
      </c>
      <c r="P44" s="497">
        <f t="shared" ca="1" si="27"/>
        <v>64.756001782221588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IFERROR(__xludf.DUMMYFUNCTION("IMPORTRANGE(""https://docs.google.com/spreadsheets/d/1MeEWN-I1oV_STSDYn1IFDPWt_1FKiwhDph83XaGc0o0/edit?usp=sharing"",""งบพรบ!M39"")"),514296)</f>
        <v>514296</v>
      </c>
      <c r="M46" s="93">
        <f ca="1">IFERROR(__xludf.DUMMYFUNCTION("IMPORTRANGE(""https://docs.google.com/spreadsheets/d/1MeEWN-I1oV_STSDYn1IFDPWt_1FKiwhDph83XaGc0o0/edit?usp=sharing"",""งบพรบ!R39"")"),529676)</f>
        <v>529676</v>
      </c>
      <c r="N46" s="93">
        <f ca="1">IFERROR(__xludf.DUMMYFUNCTION("IMPORTRANGE(""https://docs.google.com/spreadsheets/d/1MeEWN-I1oV_STSDYn1IFDPWt_1FKiwhDph83XaGc0o0/edit?usp=sharing"",""งบพรบ!T39"")"),342997)</f>
        <v>342997</v>
      </c>
      <c r="O46" s="93">
        <f t="shared" ca="1" si="26"/>
        <v>66.692527260565896</v>
      </c>
      <c r="P46" s="93">
        <f t="shared" ca="1" si="27"/>
        <v>64.756001782221588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IFERROR(__xludf.DUMMYFUNCTION("IMPORTRANGE(""https://docs.google.com/spreadsheets/d/1MeEWN-I1oV_STSDYn1IFDPWt_1FKiwhDph83XaGc0o0/edit?usp=sharing"",""งบพรบ!P39"")"),0)</f>
        <v>0</v>
      </c>
      <c r="M49" s="52">
        <f ca="1">IFERROR(__xludf.DUMMYFUNCTION("IMPORTRANGE(""https://docs.google.com/spreadsheets/d/1MeEWN-I1oV_STSDYn1IFDPWt_1FKiwhDph83XaGc0o0/edit?usp=sharing"",""งบพรบ!S39"")"),0)</f>
        <v>0</v>
      </c>
      <c r="N49" s="52">
        <f ca="1">IFERROR(__xludf.DUMMYFUNCTION("IMPORTRANGE(""https://docs.google.com/spreadsheets/d/1MeEWN-I1oV_STSDYn1IFDPWt_1FKiwhDph83XaGc0o0/edit?usp=sharing"",""งบพรบ!U39"")"),0)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679200</v>
      </c>
      <c r="M53" s="116">
        <f t="shared" ca="1" si="31"/>
        <v>509400</v>
      </c>
      <c r="N53" s="116">
        <f t="shared" ca="1" si="31"/>
        <v>373676.92</v>
      </c>
      <c r="O53" s="116">
        <f t="shared" ref="O53:O61" ca="1" si="32">IF(L53&gt;0,N53*100/L53,0)</f>
        <v>55.017214369846876</v>
      </c>
      <c r="P53" s="116">
        <f t="shared" ref="P53:P61" ca="1" si="33">IF(M53&gt;0,N53*100/M53,0)</f>
        <v>73.356285826462511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679200</v>
      </c>
      <c r="M55" s="123">
        <f t="shared" ca="1" si="34"/>
        <v>509400</v>
      </c>
      <c r="N55" s="123">
        <f t="shared" ca="1" si="34"/>
        <v>373676.92</v>
      </c>
      <c r="O55" s="123">
        <f t="shared" ca="1" si="32"/>
        <v>55.017214369846876</v>
      </c>
      <c r="P55" s="123">
        <f t="shared" ca="1" si="33"/>
        <v>73.356285826462511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679200</v>
      </c>
      <c r="M56" s="497">
        <f t="shared" ca="1" si="35"/>
        <v>509400</v>
      </c>
      <c r="N56" s="497">
        <f t="shared" ca="1" si="35"/>
        <v>373676.92</v>
      </c>
      <c r="O56" s="497">
        <f t="shared" ca="1" si="32"/>
        <v>55.017214369846876</v>
      </c>
      <c r="P56" s="497">
        <f t="shared" ca="1" si="33"/>
        <v>73.356285826462511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IFERROR(__xludf.DUMMYFUNCTION("IMPORTRANGE(""https://docs.google.com/spreadsheets/d/1MeEWN-I1oV_STSDYn1IFDPWt_1FKiwhDph83XaGc0o0/edit?usp=sharing"",""งบพรบ!W39"")"),679200)</f>
        <v>679200</v>
      </c>
      <c r="M58" s="93">
        <f ca="1">IFERROR(__xludf.DUMMYFUNCTION("IMPORTRANGE(""https://docs.google.com/spreadsheets/d/1MeEWN-I1oV_STSDYn1IFDPWt_1FKiwhDph83XaGc0o0/edit?usp=sharing"",""งบพรบ!AB39"")"),509400)</f>
        <v>509400</v>
      </c>
      <c r="N58" s="93">
        <f ca="1">IFERROR(__xludf.DUMMYFUNCTION("IMPORTRANGE(""https://docs.google.com/spreadsheets/d/1MeEWN-I1oV_STSDYn1IFDPWt_1FKiwhDph83XaGc0o0/edit?usp=sharing"",""งบพรบ!AD39"")"),373676.92)</f>
        <v>373676.92</v>
      </c>
      <c r="O58" s="93">
        <f t="shared" ca="1" si="32"/>
        <v>55.017214369846876</v>
      </c>
      <c r="P58" s="93">
        <f t="shared" ca="1" si="33"/>
        <v>73.356285826462511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IFERROR(__xludf.DUMMYFUNCTION("IMPORTRANGE(""https://docs.google.com/spreadsheets/d/1MeEWN-I1oV_STSDYn1IFDPWt_1FKiwhDph83XaGc0o0/edit?usp=sharing"",""งบพรบ!Z39"")"),0)</f>
        <v>0</v>
      </c>
      <c r="M61" s="52">
        <f ca="1">IFERROR(__xludf.DUMMYFUNCTION("IMPORTRANGE(""https://docs.google.com/spreadsheets/d/1MeEWN-I1oV_STSDYn1IFDPWt_1FKiwhDph83XaGc0o0/edit?usp=sharing"",""งบพรบ!AC39"")"),0)</f>
        <v>0</v>
      </c>
      <c r="N61" s="52">
        <f ca="1">IFERROR(__xludf.DUMMYFUNCTION("IMPORTRANGE(""https://docs.google.com/spreadsheets/d/1MeEWN-I1oV_STSDYn1IFDPWt_1FKiwhDph83XaGc0o0/edit?usp=sharing"",""งบพรบ!AE39"")"),0)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3</v>
      </c>
      <c r="J64" s="144">
        <f t="shared" si="37"/>
        <v>3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109</v>
      </c>
      <c r="J65" s="144">
        <f t="shared" si="37"/>
        <v>109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1621800</v>
      </c>
      <c r="M66" s="155">
        <f t="shared" ca="1" si="39"/>
        <v>1246500</v>
      </c>
      <c r="N66" s="155">
        <f t="shared" ca="1" si="39"/>
        <v>863887.23</v>
      </c>
      <c r="O66" s="155">
        <f t="shared" ref="O66:O74" ca="1" si="40">IF(L66&gt;0,N66*100/L66,0)</f>
        <v>53.267186459489459</v>
      </c>
      <c r="P66" s="155">
        <f t="shared" ref="P66:P74" ca="1" si="41">IF(M66&gt;0,N66*100/M66,0)</f>
        <v>69.305032490974725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1621800</v>
      </c>
      <c r="M68" s="93">
        <f t="shared" ca="1" si="42"/>
        <v>1246500</v>
      </c>
      <c r="N68" s="93">
        <f t="shared" ca="1" si="42"/>
        <v>863887.23</v>
      </c>
      <c r="O68" s="93">
        <f t="shared" ca="1" si="40"/>
        <v>53.267186459489459</v>
      </c>
      <c r="P68" s="93">
        <f t="shared" ca="1" si="41"/>
        <v>69.305032490974725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1621800</v>
      </c>
      <c r="M69" s="497">
        <f t="shared" ca="1" si="43"/>
        <v>1246500</v>
      </c>
      <c r="N69" s="497">
        <f t="shared" ca="1" si="43"/>
        <v>863887.23</v>
      </c>
      <c r="O69" s="497">
        <f t="shared" ca="1" si="40"/>
        <v>53.267186459489459</v>
      </c>
      <c r="P69" s="497">
        <f t="shared" ca="1" si="41"/>
        <v>69.305032490974725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IFERROR(__xludf.DUMMYFUNCTION("IMPORTRANGE(""https://docs.google.com/spreadsheets/d/1MeEWN-I1oV_STSDYn1IFDPWt_1FKiwhDph83XaGc0o0/edit?usp=sharing"",""งบพรบ!AG39"")"),1621800)</f>
        <v>1621800</v>
      </c>
      <c r="M71" s="93">
        <f ca="1">IFERROR(__xludf.DUMMYFUNCTION("IMPORTRANGE(""https://docs.google.com/spreadsheets/d/1MeEWN-I1oV_STSDYn1IFDPWt_1FKiwhDph83XaGc0o0/edit?usp=sharing"",""งบพรบ!AL39"")"),1246500)</f>
        <v>1246500</v>
      </c>
      <c r="N71" s="93">
        <f ca="1">IFERROR(__xludf.DUMMYFUNCTION("IMPORTRANGE(""https://docs.google.com/spreadsheets/d/1MeEWN-I1oV_STSDYn1IFDPWt_1FKiwhDph83XaGc0o0/edit?usp=sharing"",""งบพรบ!AN39"")"),863887.23)</f>
        <v>863887.23</v>
      </c>
      <c r="O71" s="93">
        <f t="shared" ca="1" si="40"/>
        <v>53.267186459489459</v>
      </c>
      <c r="P71" s="93">
        <f t="shared" ca="1" si="41"/>
        <v>69.305032490974725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IFERROR(__xludf.DUMMYFUNCTION("IMPORTRANGE(""https://docs.google.com/spreadsheets/d/1MeEWN-I1oV_STSDYn1IFDPWt_1FKiwhDph83XaGc0o0/edit?usp=sharing"",""งบพรบ!AJ39"")"),0)</f>
        <v>0</v>
      </c>
      <c r="M74" s="93">
        <f ca="1">IFERROR(__xludf.DUMMYFUNCTION("IMPORTRANGE(""https://docs.google.com/spreadsheets/d/1MeEWN-I1oV_STSDYn1IFDPWt_1FKiwhDph83XaGc0o0/edit?usp=sharing"",""งบพรบ!AM39"")"),0)</f>
        <v>0</v>
      </c>
      <c r="N74" s="93">
        <f ca="1">IFERROR(__xludf.DUMMYFUNCTION("IMPORTRANGE(""https://docs.google.com/spreadsheets/d/1MeEWN-I1oV_STSDYn1IFDPWt_1FKiwhDph83XaGc0o0/edit?usp=sharing"",""งบพรบ!AO39"")"),0)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3</v>
      </c>
      <c r="J76" s="270">
        <f t="shared" si="45"/>
        <v>3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109</v>
      </c>
      <c r="J77" s="270">
        <f t="shared" si="45"/>
        <v>109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IFERROR(__xludf.DUMMYFUNCTION("IMPORTRANGE(""https://docs.google.com/spreadsheets/d/1QqKyyYR6Q21VydFLVH3TRQUabQu_ym0Zz7PgGX0-kHA/edit?usp=sharing"",""แผน!I39"")"),32)</f>
        <v>32</v>
      </c>
      <c r="J79" s="215">
        <v>32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IFERROR(__xludf.DUMMYFUNCTION("IMPORTRANGE(""https://docs.google.com/spreadsheets/d/1QqKyyYR6Q21VydFLVH3TRQUabQu_ym0Zz7PgGX0-kHA/edit?usp=sharing"",""แผน!G39"")"),37)</f>
        <v>37</v>
      </c>
      <c r="J81" s="215">
        <v>37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IFERROR(__xludf.DUMMYFUNCTION("IMPORTRANGE(""https://docs.google.com/spreadsheets/d/1QqKyyYR6Q21VydFLVH3TRQUabQu_ym0Zz7PgGX0-kHA/edit?usp=sharing"",""แผน!E39"")"),40)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IFERROR(__xludf.DUMMYFUNCTION("IMPORTRANGE(""https://docs.google.com/spreadsheets/d/1QqKyyYR6Q21VydFLVH3TRQUabQu_ym0Zz7PgGX0-kHA/edit?usp=sharing"",""แผน!J39"")"),3)</f>
        <v>3</v>
      </c>
      <c r="J84" s="215">
        <v>1</v>
      </c>
      <c r="K84" s="163">
        <f t="shared" ca="1" si="46"/>
        <v>33.333333333333336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110880</v>
      </c>
      <c r="M88" s="155">
        <f t="shared" ca="1" si="49"/>
        <v>101180</v>
      </c>
      <c r="N88" s="155">
        <f t="shared" ca="1" si="49"/>
        <v>91171</v>
      </c>
      <c r="O88" s="155">
        <f t="shared" ref="O88:O96" ca="1" si="50">IF(L88&gt;0,N88*100/L88,0)</f>
        <v>82.224927849927852</v>
      </c>
      <c r="P88" s="155">
        <f t="shared" ref="P88:P96" ca="1" si="51">IF(M88&gt;0,N88*100/M88,0)</f>
        <v>90.107728800158128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110880</v>
      </c>
      <c r="M90" s="93">
        <f t="shared" ca="1" si="52"/>
        <v>101180</v>
      </c>
      <c r="N90" s="93">
        <f t="shared" ca="1" si="52"/>
        <v>91171</v>
      </c>
      <c r="O90" s="93">
        <f t="shared" ca="1" si="50"/>
        <v>82.224927849927852</v>
      </c>
      <c r="P90" s="93">
        <f t="shared" ca="1" si="51"/>
        <v>90.107728800158128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110880</v>
      </c>
      <c r="M91" s="497">
        <f t="shared" ca="1" si="53"/>
        <v>101180</v>
      </c>
      <c r="N91" s="497">
        <f t="shared" ca="1" si="53"/>
        <v>91171</v>
      </c>
      <c r="O91" s="497">
        <f t="shared" ca="1" si="50"/>
        <v>82.224927849927852</v>
      </c>
      <c r="P91" s="497">
        <f t="shared" ca="1" si="51"/>
        <v>90.107728800158128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IFERROR(__xludf.DUMMYFUNCTION("IMPORTRANGE(""https://docs.google.com/spreadsheets/d/1MeEWN-I1oV_STSDYn1IFDPWt_1FKiwhDph83XaGc0o0/edit?usp=sharing"",""งบพรบ!AQ39"")"),110880)</f>
        <v>110880</v>
      </c>
      <c r="M93" s="93">
        <f ca="1">IFERROR(__xludf.DUMMYFUNCTION("IMPORTRANGE(""https://docs.google.com/spreadsheets/d/1MeEWN-I1oV_STSDYn1IFDPWt_1FKiwhDph83XaGc0o0/edit?usp=sharing"",""งบพรบ!AV39"")"),101180)</f>
        <v>101180</v>
      </c>
      <c r="N93" s="93">
        <f ca="1">IFERROR(__xludf.DUMMYFUNCTION("IMPORTRANGE(""https://docs.google.com/spreadsheets/d/1MeEWN-I1oV_STSDYn1IFDPWt_1FKiwhDph83XaGc0o0/edit?usp=sharing"",""งบพรบ!AX39"")"),91171)</f>
        <v>91171</v>
      </c>
      <c r="O93" s="93">
        <f t="shared" ca="1" si="50"/>
        <v>82.224927849927852</v>
      </c>
      <c r="P93" s="93">
        <f t="shared" ca="1" si="51"/>
        <v>90.107728800158128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IFERROR(__xludf.DUMMYFUNCTION("IMPORTRANGE(""https://docs.google.com/spreadsheets/d/1MeEWN-I1oV_STSDYn1IFDPWt_1FKiwhDph83XaGc0o0/edit?usp=sharing"",""งบพรบ!AT39"")"),0)</f>
        <v>0</v>
      </c>
      <c r="M96" s="93">
        <f ca="1">IFERROR(__xludf.DUMMYFUNCTION("IMPORTRANGE(""https://docs.google.com/spreadsheets/d/1MeEWN-I1oV_STSDYn1IFDPWt_1FKiwhDph83XaGc0o0/edit?usp=sharing"",""งบพรบ!AW39"")"),0)</f>
        <v>0</v>
      </c>
      <c r="N96" s="93">
        <f ca="1">IFERROR(__xludf.DUMMYFUNCTION("IMPORTRANGE(""https://docs.google.com/spreadsheets/d/1MeEWN-I1oV_STSDYn1IFDPWt_1FKiwhDph83XaGc0o0/edit?usp=sharing"",""งบพรบ!AY39"")"),0)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IFERROR(__xludf.DUMMYFUNCTION("IMPORTRANGE(""https://docs.google.com/spreadsheets/d/1QqKyyYR6Q21VydFLVH3TRQUabQu_ym0Zz7PgGX0-kHA/edit?usp=sharing"",""แผน!K39"")"),60)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IFERROR(__xludf.DUMMYFUNCTION("IMPORTRANGE(""https://docs.google.com/spreadsheets/d/1QqKyyYR6Q21VydFLVH3TRQUabQu_ym0Zz7PgGX0-kHA/edit?usp=sharing"",""แผน!L39"")"),20)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IFERROR(__xludf.DUMMYFUNCTION("IMPORTRANGE(""https://docs.google.com/spreadsheets/d/1QqKyyYR6Q21VydFLVH3TRQUabQu_ym0Zz7PgGX0-kHA/edit?usp=sharing"",""แผน!M39"")"),2)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IFERROR(__xludf.DUMMYFUNCTION("IMPORTRANGE(""https://docs.google.com/spreadsheets/d/1QqKyyYR6Q21VydFLVH3TRQUabQu_ym0Zz7PgGX0-kHA/edit?usp=sharing"",""แผน!N39"")"),60)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IFERROR(__xludf.DUMMYFUNCTION("IMPORTRANGE(""https://docs.google.com/spreadsheets/d/1QqKyyYR6Q21VydFLVH3TRQUabQu_ym0Zz7PgGX0-kHA/edit?usp=sharing"",""แผน!O39"")"),20)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IFERROR(__xludf.DUMMYFUNCTION("IMPORTRANGE(""https://docs.google.com/spreadsheets/d/1QqKyyYR6Q21VydFLVH3TRQUabQu_ym0Zz7PgGX0-kHA/edit?usp=sharing"",""แผน!O39"")"),20)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IFERROR(__xludf.DUMMYFUNCTION("IMPORTRANGE(""https://docs.google.com/spreadsheets/d/1QqKyyYR6Q21VydFLVH3TRQUabQu_ym0Zz7PgGX0-kHA/edit?usp=sharing"",""แผน!R39"")"),20)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IFERROR(__xludf.DUMMYFUNCTION("IMPORTRANGE(""https://docs.google.com/spreadsheets/d/1QqKyyYR6Q21VydFLVH3TRQUabQu_ym0Zz7PgGX0-kHA/edit?usp=sharing"",""แผน!R39"")"),20)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IFERROR(__xludf.DUMMYFUNCTION("IMPORTRANGE(""https://docs.google.com/spreadsheets/d/1QqKyyYR6Q21VydFLVH3TRQUabQu_ym0Zz7PgGX0-kHA/edit?usp=sharing"",""แผน!R39"")"),20)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212000</v>
      </c>
      <c r="M119" s="155">
        <f t="shared" ca="1" si="60"/>
        <v>212000</v>
      </c>
      <c r="N119" s="155">
        <f t="shared" ca="1" si="60"/>
        <v>212000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212000</v>
      </c>
      <c r="M121" s="93">
        <f t="shared" ca="1" si="63"/>
        <v>212000</v>
      </c>
      <c r="N121" s="93">
        <f t="shared" ca="1" si="63"/>
        <v>212000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IFERROR(__xludf.DUMMYFUNCTION("IMPORTRANGE(""https://docs.google.com/spreadsheets/d/1MeEWN-I1oV_STSDYn1IFDPWt_1FKiwhDph83XaGc0o0/edit?usp=sharing"",""งบพรบ!BA39"")"),0)</f>
        <v>0</v>
      </c>
      <c r="M124" s="93">
        <f ca="1">IFERROR(__xludf.DUMMYFUNCTION("IMPORTRANGE(""https://docs.google.com/spreadsheets/d/1MeEWN-I1oV_STSDYn1IFDPWt_1FKiwhDph83XaGc0o0/edit?usp=sharing"",""งบพรบ!BF39"")"),0)</f>
        <v>0</v>
      </c>
      <c r="N124" s="93">
        <f ca="1">IFERROR(__xludf.DUMMYFUNCTION("IMPORTRANGE(""https://docs.google.com/spreadsheets/d/1MeEWN-I1oV_STSDYn1IFDPWt_1FKiwhDph83XaGc0o0/edit?usp=sharing"",""งบพรบ!BH39"")"),0)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212000</v>
      </c>
      <c r="M125" s="497">
        <f t="shared" ca="1" si="65"/>
        <v>212000</v>
      </c>
      <c r="N125" s="497">
        <f t="shared" ca="1" si="65"/>
        <v>212000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IFERROR(__xludf.DUMMYFUNCTION("IMPORTRANGE(""https://docs.google.com/spreadsheets/d/1MeEWN-I1oV_STSDYn1IFDPWt_1FKiwhDph83XaGc0o0/edit?usp=sharing"",""งบพรบ!BD39"")"),212000)</f>
        <v>212000</v>
      </c>
      <c r="M127" s="93">
        <f ca="1">IFERROR(__xludf.DUMMYFUNCTION("IMPORTRANGE(""https://docs.google.com/spreadsheets/d/1MeEWN-I1oV_STSDYn1IFDPWt_1FKiwhDph83XaGc0o0/edit?usp=sharing"",""งบพรบ!BG39"")"),212000)</f>
        <v>212000</v>
      </c>
      <c r="N127" s="93">
        <f ca="1">IFERROR(__xludf.DUMMYFUNCTION("IMPORTRANGE(""https://docs.google.com/spreadsheets/d/1MeEWN-I1oV_STSDYn1IFDPWt_1FKiwhDph83XaGc0o0/edit?usp=sharing"",""งบพรบ!BI39"")"),212000)</f>
        <v>212000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419735</v>
      </c>
      <c r="O132" s="155">
        <f t="shared" ref="O132:O140" ca="1" si="70">IF(L132&gt;0,N132*100/L132,0)</f>
        <v>92.256547206928005</v>
      </c>
      <c r="P132" s="155">
        <f t="shared" ref="P132:P140" ca="1" si="71">IF(M132&gt;0,N132*100/M132,0)</f>
        <v>95.264412165229231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419735</v>
      </c>
      <c r="O134" s="93">
        <f t="shared" ca="1" si="70"/>
        <v>92.256547206928005</v>
      </c>
      <c r="P134" s="93">
        <f t="shared" ca="1" si="71"/>
        <v>95.264412165229231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110735</v>
      </c>
      <c r="O135" s="497">
        <f t="shared" ca="1" si="70"/>
        <v>75.864077004761413</v>
      </c>
      <c r="P135" s="497">
        <f t="shared" ca="1" si="71"/>
        <v>84.1451367781155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IFERROR(__xludf.DUMMYFUNCTION("IMPORTRANGE(""https://docs.google.com/spreadsheets/d/1MeEWN-I1oV_STSDYn1IFDPWt_1FKiwhDph83XaGc0o0/edit?usp=sharing"",""งบพรบ!BK39"")"),145965)</f>
        <v>145965</v>
      </c>
      <c r="M137" s="93">
        <f ca="1">IFERROR(__xludf.DUMMYFUNCTION("IMPORTRANGE(""https://docs.google.com/spreadsheets/d/1MeEWN-I1oV_STSDYn1IFDPWt_1FKiwhDph83XaGc0o0/edit?usp=sharing"",""งบพรบ!BP39"")"),131600)</f>
        <v>131600</v>
      </c>
      <c r="N137" s="93">
        <f ca="1">IFERROR(__xludf.DUMMYFUNCTION("IMPORTRANGE(""https://docs.google.com/spreadsheets/d/1MeEWN-I1oV_STSDYn1IFDPWt_1FKiwhDph83XaGc0o0/edit?usp=sharing"",""งบพรบ!BR39"")"),110735)</f>
        <v>110735</v>
      </c>
      <c r="O137" s="93">
        <f t="shared" ca="1" si="70"/>
        <v>75.864077004761413</v>
      </c>
      <c r="P137" s="93">
        <f t="shared" ca="1" si="71"/>
        <v>84.1451367781155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IFERROR(__xludf.DUMMYFUNCTION("IMPORTRANGE(""https://docs.google.com/spreadsheets/d/1MeEWN-I1oV_STSDYn1IFDPWt_1FKiwhDph83XaGc0o0/edit?usp=sharing"",""งบพรบ!BN39"")"),309000)</f>
        <v>309000</v>
      </c>
      <c r="M140" s="93">
        <f ca="1">IFERROR(__xludf.DUMMYFUNCTION("IMPORTRANGE(""https://docs.google.com/spreadsheets/d/1MeEWN-I1oV_STSDYn1IFDPWt_1FKiwhDph83XaGc0o0/edit?usp=sharing"",""งบพรบ!BQ39"")"),309000)</f>
        <v>309000</v>
      </c>
      <c r="N140" s="93">
        <f ca="1">IFERROR(__xludf.DUMMYFUNCTION("IMPORTRANGE(""https://docs.google.com/spreadsheets/d/1MeEWN-I1oV_STSDYn1IFDPWt_1FKiwhDph83XaGc0o0/edit?usp=sharing"",""งบพรบ!BS39"")"),309000)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IFERROR(__xludf.DUMMYFUNCTION("IMPORTRANGE(""https://docs.google.com/spreadsheets/d/1QqKyyYR6Q21VydFLVH3TRQUabQu_ym0Zz7PgGX0-kHA/edit?usp=sharing"",""แผน!U39"")"),15)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IFERROR(__xludf.DUMMYFUNCTION("IMPORTRANGE(""https://docs.google.com/spreadsheets/d/1QqKyyYR6Q21VydFLVH3TRQUabQu_ym0Zz7PgGX0-kHA/edit?usp=sharing"",""แผน!V39"")"),30)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IFERROR(__xludf.DUMMYFUNCTION("IMPORTRANGE(""https://docs.google.com/spreadsheets/d/1QqKyyYR6Q21VydFLVH3TRQUabQu_ym0Zz7PgGX0-kHA/edit?usp=sharing"",""แผน!W39"")"),3)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IFERROR(__xludf.DUMMYFUNCTION("IMPORTRANGE(""https://docs.google.com/spreadsheets/d/1MeEWN-I1oV_STSDYn1IFDPWt_1FKiwhDph83XaGc0o0/edit?usp=sharing"",""งบพรบ!BU39"")"),0)</f>
        <v>0</v>
      </c>
      <c r="M154" s="93">
        <f ca="1">IFERROR(__xludf.DUMMYFUNCTION("IMPORTRANGE(""https://docs.google.com/spreadsheets/d/1MeEWN-I1oV_STSDYn1IFDPWt_1FKiwhDph83XaGc0o0/edit?usp=sharing"",""งบพรบ!BZ39"")"),0)</f>
        <v>0</v>
      </c>
      <c r="N154" s="93">
        <f ca="1">IFERROR(__xludf.DUMMYFUNCTION("IMPORTRANGE(""https://docs.google.com/spreadsheets/d/1MeEWN-I1oV_STSDYn1IFDPWt_1FKiwhDph83XaGc0o0/edit?usp=sharing"",""งบพรบ!CB39"")"),0)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IFERROR(__xludf.DUMMYFUNCTION("IMPORTRANGE(""https://docs.google.com/spreadsheets/d/1MeEWN-I1oV_STSDYn1IFDPWt_1FKiwhDph83XaGc0o0/edit?usp=sharing"",""งบพรบ!BX39"")"),0)</f>
        <v>0</v>
      </c>
      <c r="M157" s="93">
        <f ca="1">IFERROR(__xludf.DUMMYFUNCTION("IMPORTRANGE(""https://docs.google.com/spreadsheets/d/1MeEWN-I1oV_STSDYn1IFDPWt_1FKiwhDph83XaGc0o0/edit?usp=sharing"",""งบพรบ!CA39"")"),0)</f>
        <v>0</v>
      </c>
      <c r="N157" s="93">
        <f ca="1">IFERROR(__xludf.DUMMYFUNCTION("IMPORTRANGE(""https://docs.google.com/spreadsheets/d/1MeEWN-I1oV_STSDYn1IFDPWt_1FKiwhDph83XaGc0o0/edit?usp=sharing"",""งบพรบ!CC39"")"),0)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IFERROR(__xludf.DUMMYFUNCTION("IMPORTRANGE(""https://docs.google.com/spreadsheets/d/1MeEWN-I1oV_STSDYn1IFDPWt_1FKiwhDph83XaGc0o0/edit?usp=sharing"",""งบพรบ!CE39"")"),23060)</f>
        <v>23060</v>
      </c>
      <c r="M170" s="93">
        <f ca="1">IFERROR(__xludf.DUMMYFUNCTION("IMPORTRANGE(""https://docs.google.com/spreadsheets/d/1MeEWN-I1oV_STSDYn1IFDPWt_1FKiwhDph83XaGc0o0/edit?usp=sharing"",""งบพรบ!CJ39"")"),23060)</f>
        <v>23060</v>
      </c>
      <c r="N170" s="93">
        <f ca="1">IFERROR(__xludf.DUMMYFUNCTION("IMPORTRANGE(""https://docs.google.com/spreadsheets/d/1MeEWN-I1oV_STSDYn1IFDPWt_1FKiwhDph83XaGc0o0/edit?usp=sharing"",""งบพรบ!CL39"")"),23060)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IFERROR(__xludf.DUMMYFUNCTION("IMPORTRANGE(""https://docs.google.com/spreadsheets/d/1MeEWN-I1oV_STSDYn1IFDPWt_1FKiwhDph83XaGc0o0/edit?usp=sharing"",""งบพรบ!CH39"")"),0)</f>
        <v>0</v>
      </c>
      <c r="M173" s="93">
        <f ca="1">IFERROR(__xludf.DUMMYFUNCTION("IMPORTRANGE(""https://docs.google.com/spreadsheets/d/1MeEWN-I1oV_STSDYn1IFDPWt_1FKiwhDph83XaGc0o0/edit?usp=sharing"",""งบพรบ!CK39"")"),0)</f>
        <v>0</v>
      </c>
      <c r="N173" s="93">
        <f ca="1">IFERROR(__xludf.DUMMYFUNCTION("IMPORTRANGE(""https://docs.google.com/spreadsheets/d/1MeEWN-I1oV_STSDYn1IFDPWt_1FKiwhDph83XaGc0o0/edit?usp=sharing"",""งบพรบ!CM39"")"),0)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IFERROR(__xludf.DUMMYFUNCTION("IMPORTRANGE(""https://docs.google.com/spreadsheets/d/1QqKyyYR6Q21VydFLVH3TRQUabQu_ym0Zz7PgGX0-kHA/edit?usp=sharing"",""แผน!Y39"")"),12)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55500</v>
      </c>
      <c r="M181" s="155">
        <f t="shared" ca="1" si="92"/>
        <v>40500</v>
      </c>
      <c r="N181" s="155">
        <f t="shared" ca="1" si="92"/>
        <v>29960</v>
      </c>
      <c r="O181" s="155">
        <f t="shared" ref="O181:O189" ca="1" si="93">IF(L181&gt;0,N181*100/L181,0)</f>
        <v>53.981981981981981</v>
      </c>
      <c r="P181" s="155">
        <f t="shared" ref="P181:P189" ca="1" si="94">IF(M181&gt;0,N181*100/M181,0)</f>
        <v>73.975308641975303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55500</v>
      </c>
      <c r="M183" s="93">
        <f t="shared" ca="1" si="95"/>
        <v>40500</v>
      </c>
      <c r="N183" s="93">
        <f t="shared" ca="1" si="95"/>
        <v>29960</v>
      </c>
      <c r="O183" s="93">
        <f t="shared" ca="1" si="93"/>
        <v>53.981981981981981</v>
      </c>
      <c r="P183" s="93">
        <f t="shared" ca="1" si="94"/>
        <v>73.975308641975303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55500</v>
      </c>
      <c r="M184" s="497">
        <f t="shared" ca="1" si="96"/>
        <v>40500</v>
      </c>
      <c r="N184" s="497">
        <f t="shared" ca="1" si="96"/>
        <v>29960</v>
      </c>
      <c r="O184" s="497">
        <f t="shared" ca="1" si="93"/>
        <v>53.981981981981981</v>
      </c>
      <c r="P184" s="497">
        <f t="shared" ca="1" si="94"/>
        <v>73.975308641975303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IFERROR(__xludf.DUMMYFUNCTION("IMPORTRANGE(""https://docs.google.com/spreadsheets/d/1MeEWN-I1oV_STSDYn1IFDPWt_1FKiwhDph83XaGc0o0/edit?usp=sharing"",""งบพรบ!CO39"")"),55500)</f>
        <v>55500</v>
      </c>
      <c r="M186" s="93">
        <f ca="1">IFERROR(__xludf.DUMMYFUNCTION("IMPORTRANGE(""https://docs.google.com/spreadsheets/d/1MeEWN-I1oV_STSDYn1IFDPWt_1FKiwhDph83XaGc0o0/edit?usp=sharing"",""งบพรบ!CT39"")"),40500)</f>
        <v>40500</v>
      </c>
      <c r="N186" s="93">
        <f ca="1">IFERROR(__xludf.DUMMYFUNCTION("IMPORTRANGE(""https://docs.google.com/spreadsheets/d/1MeEWN-I1oV_STSDYn1IFDPWt_1FKiwhDph83XaGc0o0/edit?usp=sharing"",""งบพรบ!CV39"")"),29960)</f>
        <v>29960</v>
      </c>
      <c r="O186" s="93">
        <f t="shared" ca="1" si="93"/>
        <v>53.981981981981981</v>
      </c>
      <c r="P186" s="93">
        <f t="shared" ca="1" si="94"/>
        <v>73.975308641975303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IFERROR(__xludf.DUMMYFUNCTION("IMPORTRANGE(""https://docs.google.com/spreadsheets/d/1MeEWN-I1oV_STSDYn1IFDPWt_1FKiwhDph83XaGc0o0/edit?usp=sharing"",""งบพรบ!CR39"")"),0)</f>
        <v>0</v>
      </c>
      <c r="M189" s="93">
        <f ca="1">IFERROR(__xludf.DUMMYFUNCTION("IMPORTRANGE(""https://docs.google.com/spreadsheets/d/1MeEWN-I1oV_STSDYn1IFDPWt_1FKiwhDph83XaGc0o0/edit?usp=sharing"",""งบพรบ!CU39"")"),0)</f>
        <v>0</v>
      </c>
      <c r="N189" s="93">
        <f ca="1">IFERROR(__xludf.DUMMYFUNCTION("IMPORTRANGE(""https://docs.google.com/spreadsheets/d/1MeEWN-I1oV_STSDYn1IFDPWt_1FKiwhDph83XaGc0o0/edit?usp=sharing"",""งบพรบ!CW39"")"),0)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IFERROR(__xludf.DUMMYFUNCTION("IMPORTRANGE(""https://docs.google.com/spreadsheets/d/1QqKyyYR6Q21VydFLVH3TRQUabQu_ym0Zz7PgGX0-kHA/edit?usp=sharing"",""แผน!Z39"")"),6000)</f>
        <v>6000</v>
      </c>
      <c r="M191" s="155"/>
      <c r="N191" s="276">
        <v>3375</v>
      </c>
      <c r="O191" s="155">
        <f ca="1">IF(L191&gt;0,N191*100/L191,0)</f>
        <v>56.25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29960</v>
      </c>
      <c r="O198" s="155">
        <f ca="1">IF(L198&gt;0,N198*100/L198,0)</f>
        <v>96.645161290322577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IFERROR(__xludf.DUMMYFUNCTION("IMPORTRANGE(""https://docs.google.com/spreadsheets/d/1QqKyyYR6Q21VydFLVH3TRQUabQu_ym0Zz7PgGX0-kHA/edit?usp=sharing"",""แผน!AE39"")"),2000)</f>
        <v>2000</v>
      </c>
      <c r="M199" s="497"/>
      <c r="N199" s="838">
        <v>5960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IFERROR(__xludf.DUMMYFUNCTION("IMPORTRANGE(""https://docs.google.com/spreadsheets/d/1QqKyyYR6Q21VydFLVH3TRQUabQu_ym0Zz7PgGX0-kHA/edit?usp=sharing"",""แผน!AH39"")"),5000)</f>
        <v>5000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IFERROR(__xludf.DUMMYFUNCTION("IMPORTRANGE(""https://docs.google.com/spreadsheets/d/1QqKyyYR6Q21VydFLVH3TRQUabQu_ym0Zz7PgGX0-kHA/edit?usp=sharing"",""แผน!AK39"")"),0)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IFERROR(__xludf.DUMMYFUNCTION("IMPORTRANGE(""https://docs.google.com/spreadsheets/d/1QqKyyYR6Q21VydFLVH3TRQUabQu_ym0Zz7PgGX0-kHA/edit?usp=sharing"",""แผน!AL39"")"),0)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IFERROR(__xludf.DUMMYFUNCTION("IMPORTRANGE(""https://docs.google.com/spreadsheets/d/1QqKyyYR6Q21VydFLVH3TRQUabQu_ym0Zz7PgGX0-kHA/edit?usp=sharing"",""แผน!AM39"")"),0)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IFERROR(__xludf.DUMMYFUNCTION("IMPORTRANGE(""https://docs.google.com/spreadsheets/d/1QqKyyYR6Q21VydFLVH3TRQUabQu_ym0Zz7PgGX0-kHA/edit?usp=sharing"",""แผน!AP39"")"),5000)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IFERROR(__xludf.DUMMYFUNCTION("IMPORTRANGE(""https://docs.google.com/spreadsheets/d/1QqKyyYR6Q21VydFLVH3TRQUabQu_ym0Zz7PgGX0-kHA/edit?usp=sharing"",""แผน!AQ39"")"),13500)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IFERROR(__xludf.DUMMYFUNCTION("IMPORTRANGE(""https://docs.google.com/spreadsheets/d/1QqKyyYR6Q21VydFLVH3TRQUabQu_ym0Zz7PgGX0-kHA/edit?usp=sharing"",""แผน!AT39"")"),50000)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IFERROR(__xludf.DUMMYFUNCTION("IMPORTRANGE(""https://docs.google.com/spreadsheets/d/1QqKyyYR6Q21VydFLVH3TRQUabQu_ym0Zz7PgGX0-kHA/edit?usp=sharing"",""แผน!AT39"")"),50000)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20150</v>
      </c>
      <c r="O261" s="155">
        <f t="shared" ref="O261:O269" ca="1" si="117">IF(L261&gt;0,N261*100/L261,0)</f>
        <v>74.907063197026019</v>
      </c>
      <c r="P261" s="155">
        <f t="shared" ref="P261:P269" ca="1" si="118">IF(M261&gt;0,N261*100/M261,0)</f>
        <v>84.309623430962347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20150</v>
      </c>
      <c r="O263" s="93">
        <f t="shared" ca="1" si="117"/>
        <v>74.907063197026019</v>
      </c>
      <c r="P263" s="93">
        <f t="shared" ca="1" si="118"/>
        <v>84.309623430962347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20150</v>
      </c>
      <c r="O264" s="497">
        <f t="shared" ca="1" si="117"/>
        <v>74.907063197026019</v>
      </c>
      <c r="P264" s="497">
        <f t="shared" ca="1" si="118"/>
        <v>84.309623430962347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IFERROR(__xludf.DUMMYFUNCTION("IMPORTRANGE(""https://docs.google.com/spreadsheets/d/1MeEWN-I1oV_STSDYn1IFDPWt_1FKiwhDph83XaGc0o0/edit?usp=sharing"",""งบพรบ!CY39"")"),26900)</f>
        <v>26900</v>
      </c>
      <c r="M266" s="93">
        <f ca="1">IFERROR(__xludf.DUMMYFUNCTION("IMPORTRANGE(""https://docs.google.com/spreadsheets/d/1MeEWN-I1oV_STSDYn1IFDPWt_1FKiwhDph83XaGc0o0/edit?usp=sharing"",""งบพรบ!DD39"")"),23900)</f>
        <v>23900</v>
      </c>
      <c r="N266" s="93">
        <f ca="1">IFERROR(__xludf.DUMMYFUNCTION("IMPORTRANGE(""https://docs.google.com/spreadsheets/d/1MeEWN-I1oV_STSDYn1IFDPWt_1FKiwhDph83XaGc0o0/edit?usp=sharing"",""งบพรบ!DF39"")"),20150)</f>
        <v>20150</v>
      </c>
      <c r="O266" s="93">
        <f t="shared" ca="1" si="117"/>
        <v>74.907063197026019</v>
      </c>
      <c r="P266" s="93">
        <f t="shared" ca="1" si="118"/>
        <v>84.309623430962347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IFERROR(__xludf.DUMMYFUNCTION("IMPORTRANGE(""https://docs.google.com/spreadsheets/d/1MeEWN-I1oV_STSDYn1IFDPWt_1FKiwhDph83XaGc0o0/edit?usp=sharing"",""งบพรบ!DB39"")"),0)</f>
        <v>0</v>
      </c>
      <c r="M269" s="93">
        <f ca="1">IFERROR(__xludf.DUMMYFUNCTION("IMPORTRANGE(""https://docs.google.com/spreadsheets/d/1MeEWN-I1oV_STSDYn1IFDPWt_1FKiwhDph83XaGc0o0/edit?usp=sharing"",""งบพรบ!DE39"")"),0)</f>
        <v>0</v>
      </c>
      <c r="N269" s="93">
        <f ca="1">IFERROR(__xludf.DUMMYFUNCTION("IMPORTRANGE(""https://docs.google.com/spreadsheets/d/1MeEWN-I1oV_STSDYn1IFDPWt_1FKiwhDph83XaGc0o0/edit?usp=sharing"",""งบพรบ!DG39"")"),0)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IFERROR(__xludf.DUMMYFUNCTION("IMPORTRANGE(""https://docs.google.com/spreadsheets/d/1MeEWN-I1oV_STSDYn1IFDPWt_1FKiwhDph83XaGc0o0/edit?usp=sharing"",""งบพรบ!DI39"")"),0)</f>
        <v>0</v>
      </c>
      <c r="M282" s="93">
        <f ca="1">IFERROR(__xludf.DUMMYFUNCTION("IMPORTRANGE(""https://docs.google.com/spreadsheets/d/1MeEWN-I1oV_STSDYn1IFDPWt_1FKiwhDph83XaGc0o0/edit?usp=sharing"",""งบพรบ!DN39"")"),0)</f>
        <v>0</v>
      </c>
      <c r="N282" s="93">
        <f ca="1">IFERROR(__xludf.DUMMYFUNCTION("IMPORTRANGE(""https://docs.google.com/spreadsheets/d/1MeEWN-I1oV_STSDYn1IFDPWt_1FKiwhDph83XaGc0o0/edit?usp=sharing"",""งบพรบ!DP39"")"),0)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IFERROR(__xludf.DUMMYFUNCTION("IMPORTRANGE(""https://docs.google.com/spreadsheets/d/1MeEWN-I1oV_STSDYn1IFDPWt_1FKiwhDph83XaGc0o0/edit?usp=sharing"",""งบพรบ!DL39"")"),0)</f>
        <v>0</v>
      </c>
      <c r="M285" s="93">
        <f ca="1">IFERROR(__xludf.DUMMYFUNCTION("IMPORTRANGE(""https://docs.google.com/spreadsheets/d/1MeEWN-I1oV_STSDYn1IFDPWt_1FKiwhDph83XaGc0o0/edit?usp=sharing"",""งบพรบ!DO39"")"),0)</f>
        <v>0</v>
      </c>
      <c r="N285" s="93">
        <f ca="1">IFERROR(__xludf.DUMMYFUNCTION("IMPORTRANGE(""https://docs.google.com/spreadsheets/d/1MeEWN-I1oV_STSDYn1IFDPWt_1FKiwhDph83XaGc0o0/edit?usp=sharing"",""งบพรบ!DQ39"")"),0)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IFERROR(__xludf.DUMMYFUNCTION("IMPORTRANGE(""https://docs.google.com/spreadsheets/d/1QqKyyYR6Q21VydFLVH3TRQUabQu_ym0Zz7PgGX0-kHA/edit?usp=sharing"",""แผน!EC39"")"),0)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IFERROR(__xludf.DUMMYFUNCTION("IMPORTRANGE(""https://docs.google.com/spreadsheets/d/1MeEWN-I1oV_STSDYn1IFDPWt_1FKiwhDph83XaGc0o0/edit?usp=sharing"",""งบพรบ!DS39"")"),0)</f>
        <v>0</v>
      </c>
      <c r="M303" s="93">
        <f ca="1">IFERROR(__xludf.DUMMYFUNCTION("IMPORTRANGE(""https://docs.google.com/spreadsheets/d/1MeEWN-I1oV_STSDYn1IFDPWt_1FKiwhDph83XaGc0o0/edit?usp=sharing"",""งบพรบ!DX39"")"),0)</f>
        <v>0</v>
      </c>
      <c r="N303" s="93">
        <f ca="1">IFERROR(__xludf.DUMMYFUNCTION("IMPORTRANGE(""https://docs.google.com/spreadsheets/d/1MeEWN-I1oV_STSDYn1IFDPWt_1FKiwhDph83XaGc0o0/edit?usp=sharing"",""งบพรบ!DZ39"")"),0)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IFERROR(__xludf.DUMMYFUNCTION("IMPORTRANGE(""https://docs.google.com/spreadsheets/d/1MeEWN-I1oV_STSDYn1IFDPWt_1FKiwhDph83XaGc0o0/edit?usp=sharing"",""งบพรบ!DV39"")"),0)</f>
        <v>0</v>
      </c>
      <c r="M306" s="93">
        <f ca="1">IFERROR(__xludf.DUMMYFUNCTION("IMPORTRANGE(""https://docs.google.com/spreadsheets/d/1MeEWN-I1oV_STSDYn1IFDPWt_1FKiwhDph83XaGc0o0/edit?usp=sharing"",""งบพรบ!DY39"")"),0)</f>
        <v>0</v>
      </c>
      <c r="N306" s="93">
        <f ca="1">IFERROR(__xludf.DUMMYFUNCTION("IMPORTRANGE(""https://docs.google.com/spreadsheets/d/1MeEWN-I1oV_STSDYn1IFDPWt_1FKiwhDph83XaGc0o0/edit?usp=sharing"",""งบพรบ!EA39"")"),0)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IFERROR(__xludf.DUMMYFUNCTION("IMPORTRANGE(""https://docs.google.com/spreadsheets/d/1MeEWN-I1oV_STSDYn1IFDPWt_1FKiwhDph83XaGc0o0/edit?usp=sharing"",""งบพรบ!EC39"")"),0)</f>
        <v>0</v>
      </c>
      <c r="M320" s="93">
        <f ca="1">IFERROR(__xludf.DUMMYFUNCTION("IMPORTRANGE(""https://docs.google.com/spreadsheets/d/1MeEWN-I1oV_STSDYn1IFDPWt_1FKiwhDph83XaGc0o0/edit?usp=sharing"",""งบพรบ!EH39"")"),0)</f>
        <v>0</v>
      </c>
      <c r="N320" s="93">
        <f ca="1">IFERROR(__xludf.DUMMYFUNCTION("IMPORTRANGE(""https://docs.google.com/spreadsheets/d/1MeEWN-I1oV_STSDYn1IFDPWt_1FKiwhDph83XaGc0o0/edit?usp=sharing"",""งบพรบ!EJ39"")"),0)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IFERROR(__xludf.DUMMYFUNCTION("IMPORTRANGE(""https://docs.google.com/spreadsheets/d/1MeEWN-I1oV_STSDYn1IFDPWt_1FKiwhDph83XaGc0o0/edit?usp=sharing"",""งบพรบ!EF39"")"),0)</f>
        <v>0</v>
      </c>
      <c r="M323" s="93">
        <f ca="1">IFERROR(__xludf.DUMMYFUNCTION("IMPORTRANGE(""https://docs.google.com/spreadsheets/d/1MeEWN-I1oV_STSDYn1IFDPWt_1FKiwhDph83XaGc0o0/edit?usp=sharing"",""งบพรบ!EI39"")"),0)</f>
        <v>0</v>
      </c>
      <c r="N323" s="93">
        <f ca="1">IFERROR(__xludf.DUMMYFUNCTION("IMPORTRANGE(""https://docs.google.com/spreadsheets/d/1MeEWN-I1oV_STSDYn1IFDPWt_1FKiwhDph83XaGc0o0/edit?usp=sharing"",""งบพรบ!EK39"")"),0)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IFERROR(__xludf.DUMMYFUNCTION("IMPORTRANGE(""https://docs.google.com/spreadsheets/d/1QqKyyYR6Q21VydFLVH3TRQUabQu_ym0Zz7PgGX0-kHA/edit?usp=sharing"",""แผน!EG39"")"),1000)</f>
        <v>1000</v>
      </c>
      <c r="J327" s="444">
        <f ca="1">J338+J341+J342+J343</f>
        <v>1155</v>
      </c>
      <c r="K327" s="445">
        <f ca="1">IF(I327&gt;0,J327*100/I327,0)</f>
        <v>115.5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123250</v>
      </c>
      <c r="N328" s="155">
        <f t="shared" ca="1" si="149"/>
        <v>87852</v>
      </c>
      <c r="O328" s="155">
        <f t="shared" ref="O328:O336" ca="1" si="150">IF(L328&gt;0,N328*100/L328,0)</f>
        <v>54.566459627329195</v>
      </c>
      <c r="P328" s="155">
        <f t="shared" ref="P328:P336" ca="1" si="151">IF(M328&gt;0,N328*100/M328,0)</f>
        <v>71.279513184584175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161000</v>
      </c>
      <c r="M330" s="93">
        <f t="shared" ca="1" si="152"/>
        <v>123250</v>
      </c>
      <c r="N330" s="93">
        <f t="shared" ca="1" si="152"/>
        <v>87852</v>
      </c>
      <c r="O330" s="93">
        <f t="shared" ca="1" si="150"/>
        <v>54.566459627329195</v>
      </c>
      <c r="P330" s="93">
        <f t="shared" ca="1" si="151"/>
        <v>71.279513184584175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123250</v>
      </c>
      <c r="N331" s="497">
        <f t="shared" ca="1" si="153"/>
        <v>87852</v>
      </c>
      <c r="O331" s="497">
        <f t="shared" ca="1" si="150"/>
        <v>54.566459627329195</v>
      </c>
      <c r="P331" s="497">
        <f t="shared" ca="1" si="151"/>
        <v>71.279513184584175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IFERROR(__xludf.DUMMYFUNCTION("IMPORTRANGE(""https://docs.google.com/spreadsheets/d/1MeEWN-I1oV_STSDYn1IFDPWt_1FKiwhDph83XaGc0o0/edit?usp=sharing"",""งบพรบ!EM39"")"),161000)</f>
        <v>161000</v>
      </c>
      <c r="M333" s="93">
        <f ca="1">IFERROR(__xludf.DUMMYFUNCTION("IMPORTRANGE(""https://docs.google.com/spreadsheets/d/1MeEWN-I1oV_STSDYn1IFDPWt_1FKiwhDph83XaGc0o0/edit?usp=sharing"",""งบพรบ!ER39"")"),123250)</f>
        <v>123250</v>
      </c>
      <c r="N333" s="93">
        <f ca="1">IFERROR(__xludf.DUMMYFUNCTION("IMPORTRANGE(""https://docs.google.com/spreadsheets/d/1MeEWN-I1oV_STSDYn1IFDPWt_1FKiwhDph83XaGc0o0/edit?usp=sharing"",""งบพรบ!ET39"")"),87852)</f>
        <v>87852</v>
      </c>
      <c r="O333" s="93">
        <f t="shared" ca="1" si="150"/>
        <v>54.566459627329195</v>
      </c>
      <c r="P333" s="93">
        <f t="shared" ca="1" si="151"/>
        <v>71.279513184584175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IFERROR(__xludf.DUMMYFUNCTION("IMPORTRANGE(""https://docs.google.com/spreadsheets/d/1MeEWN-I1oV_STSDYn1IFDPWt_1FKiwhDph83XaGc0o0/edit?usp=sharing"",""งบพรบ!EP39"")"),0)</f>
        <v>0</v>
      </c>
      <c r="M336" s="93">
        <f ca="1">IFERROR(__xludf.DUMMYFUNCTION("IMPORTRANGE(""https://docs.google.com/spreadsheets/d/1MeEWN-I1oV_STSDYn1IFDPWt_1FKiwhDph83XaGc0o0/edit?usp=sharing"",""งบพรบ!ES39"")"),0)</f>
        <v>0</v>
      </c>
      <c r="N336" s="93">
        <f ca="1">IFERROR(__xludf.DUMMYFUNCTION("IMPORTRANGE(""https://docs.google.com/spreadsheets/d/1MeEWN-I1oV_STSDYn1IFDPWt_1FKiwhDph83XaGc0o0/edit?usp=sharing"",""งบพรบ!EU39"")"),0)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IFERROR(__xludf.DUMMYFUNCTION("IMPORTRANGE(""https://docs.google.com/spreadsheets/d/1QqKyyYR6Q21VydFLVH3TRQUabQu_ym0Zz7PgGX0-kHA/edit?usp=sharing"",""แผน!EG39"")"),1000)</f>
        <v>1000</v>
      </c>
      <c r="J338" s="270">
        <f ca="1">IFERROR(__xludf.DUMMYFUNCTION("IMPORTRANGE(""https://docs.google.com/spreadsheets/d/1kVcqe37tkHyjCSG3S0O1AXqVkqjo8mSIZil3BcpIysc/edit?usp=sharing"",""ศูนย์!D39"")"),1114)</f>
        <v>1114</v>
      </c>
      <c r="K338" s="497">
        <f ca="1">IF(I338&gt;0,J338*100/I338,0)</f>
        <v>111.4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IFERROR(__xludf.DUMMYFUNCTION("IMPORTRANGE(""https://docs.google.com/spreadsheets/d/1QqKyyYR6Q21VydFLVH3TRQUabQu_ym0Zz7PgGX0-kHA/edit?usp=sharing"",""แผน!EH39"")"),4)</f>
        <v>4</v>
      </c>
      <c r="J340" s="270">
        <f ca="1">IFERROR(__xludf.DUMMYFUNCTION("IMPORTRANGE(""https://docs.google.com/spreadsheets/d/1kVcqe37tkHyjCSG3S0O1AXqVkqjo8mSIZil3BcpIysc/edit?usp=sharing"",""ศูนย์!E39"")"),1)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IFERROR(__xludf.DUMMYFUNCTION("IMPORTRANGE(""https://docs.google.com/spreadsheets/d/1kVcqe37tkHyjCSG3S0O1AXqVkqjo8mSIZil3BcpIysc/edit?usp=sharing"",""ศูนย์!F39"")"),41)</f>
        <v>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491410</v>
      </c>
      <c r="M345" s="155">
        <f t="shared" ca="1" si="155"/>
        <v>379770</v>
      </c>
      <c r="N345" s="155">
        <f t="shared" ca="1" si="155"/>
        <v>248758.3</v>
      </c>
      <c r="O345" s="155">
        <f t="shared" ref="O345:O353" ca="1" si="156">IF(L345&gt;0,N345*100/L345,0)</f>
        <v>50.621334527176899</v>
      </c>
      <c r="P345" s="155">
        <f t="shared" ref="P345:P353" ca="1" si="157">IF(M345&gt;0,N345*100/M345,0)</f>
        <v>65.502356689575265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491410</v>
      </c>
      <c r="M347" s="93">
        <f t="shared" ca="1" si="158"/>
        <v>379770</v>
      </c>
      <c r="N347" s="93">
        <f t="shared" ca="1" si="158"/>
        <v>248758.3</v>
      </c>
      <c r="O347" s="93">
        <f t="shared" ca="1" si="156"/>
        <v>50.621334527176899</v>
      </c>
      <c r="P347" s="93">
        <f t="shared" ca="1" si="157"/>
        <v>65.502356689575265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431410</v>
      </c>
      <c r="M348" s="497">
        <f t="shared" ca="1" si="159"/>
        <v>319770</v>
      </c>
      <c r="N348" s="497">
        <f t="shared" ca="1" si="159"/>
        <v>188758.3</v>
      </c>
      <c r="O348" s="497">
        <f t="shared" ca="1" si="156"/>
        <v>43.753807283094964</v>
      </c>
      <c r="P348" s="497">
        <f t="shared" ca="1" si="157"/>
        <v>59.029396128467333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IFERROR(__xludf.DUMMYFUNCTION("IMPORTRANGE(""https://docs.google.com/spreadsheets/d/1MeEWN-I1oV_STSDYn1IFDPWt_1FKiwhDph83XaGc0o0/edit?usp=sharing"",""งบพรบ!EW39"")"),431410)</f>
        <v>431410</v>
      </c>
      <c r="M350" s="93">
        <f ca="1">IFERROR(__xludf.DUMMYFUNCTION("IMPORTRANGE(""https://docs.google.com/spreadsheets/d/1MeEWN-I1oV_STSDYn1IFDPWt_1FKiwhDph83XaGc0o0/edit?usp=sharing"",""งบพรบ!FB39"")"),319770)</f>
        <v>319770</v>
      </c>
      <c r="N350" s="93">
        <f ca="1">IFERROR(__xludf.DUMMYFUNCTION("IMPORTRANGE(""https://docs.google.com/spreadsheets/d/1MeEWN-I1oV_STSDYn1IFDPWt_1FKiwhDph83XaGc0o0/edit?usp=sharing"",""งบพรบ!FD39"")"),188758.3)</f>
        <v>188758.3</v>
      </c>
      <c r="O350" s="93">
        <f t="shared" ca="1" si="156"/>
        <v>43.753807283094964</v>
      </c>
      <c r="P350" s="93">
        <f t="shared" ca="1" si="157"/>
        <v>59.029396128467333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IFERROR(__xludf.DUMMYFUNCTION("IMPORTRANGE(""https://docs.google.com/spreadsheets/d/1MeEWN-I1oV_STSDYn1IFDPWt_1FKiwhDph83XaGc0o0/edit?usp=sharing"",""งบพรบ!EZ39"")"),60000)</f>
        <v>60000</v>
      </c>
      <c r="M353" s="93">
        <f ca="1">IFERROR(__xludf.DUMMYFUNCTION("IMPORTRANGE(""https://docs.google.com/spreadsheets/d/1MeEWN-I1oV_STSDYn1IFDPWt_1FKiwhDph83XaGc0o0/edit?usp=sharing"",""งบพรบ!FC39"")"),60000)</f>
        <v>60000</v>
      </c>
      <c r="N353" s="93">
        <f ca="1">IFERROR(__xludf.DUMMYFUNCTION("IMPORTRANGE(""https://docs.google.com/spreadsheets/d/1MeEWN-I1oV_STSDYn1IFDPWt_1FKiwhDph83XaGc0o0/edit?usp=sharing"",""งบพรบ!FE39"")"),60000)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IFERROR(__xludf.DUMMYFUNCTION("IMPORTRANGE(""https://docs.google.com/spreadsheets/d/1QqKyyYR6Q21VydFLVH3TRQUabQu_ym0Zz7PgGX0-kHA/edit?usp=sharing"",""แผน!EP39"")"),115)</f>
        <v>115</v>
      </c>
      <c r="J355" s="464">
        <f ca="1">J362</f>
        <v>27</v>
      </c>
      <c r="K355" s="465">
        <f ca="1">IF(I355&gt;0,J355*100/I355,0)</f>
        <v>23.478260869565219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IFERROR(__xludf.DUMMYFUNCTION("IMPORTRANGE(""https://docs.google.com/spreadsheets/d/1XWAQStnk-4SwqDmLtmXYiTMKHgktTP8We1SCoS47DrQ/edit?usp=sharing"",""จัดที่ดิน!W39"")"),54)</f>
        <v>54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IFERROR(__xludf.DUMMYFUNCTION("IMPORTRANGE(""https://docs.google.com/spreadsheets/d/1QqKyyYR6Q21VydFLVH3TRQUabQu_ym0Zz7PgGX0-kHA/edit?usp=sharing"",""แผน!EO39"")"),1150)</f>
        <v>1150</v>
      </c>
      <c r="J359" s="270">
        <f ca="1">IFERROR(__xludf.DUMMYFUNCTION("IMPORTRANGE(""https://docs.google.com/spreadsheets/d/1XWAQStnk-4SwqDmLtmXYiTMKHgktTP8We1SCoS47DrQ/edit?usp=sharing"",""จัดที่ดิน!X39"")"),550.25)</f>
        <v>550.25</v>
      </c>
      <c r="K359" s="497">
        <f t="shared" ca="1" si="161"/>
        <v>47.847826086956523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IFERROR(__xludf.DUMMYFUNCTION("IMPORTRANGE(""https://docs.google.com/spreadsheets/d/1QqKyyYR6Q21VydFLVH3TRQUabQu_ym0Zz7PgGX0-kHA/edit?usp=sharing"",""แผน!EP39"")"),115)</f>
        <v>115</v>
      </c>
      <c r="J360" s="270">
        <f ca="1">IFERROR(__xludf.DUMMYFUNCTION("IMPORTRANGE(""https://docs.google.com/spreadsheets/d/1XWAQStnk-4SwqDmLtmXYiTMKHgktTP8We1SCoS47DrQ/edit?usp=sharing"",""จัดที่ดิน!Y39"")"),54)</f>
        <v>54</v>
      </c>
      <c r="K360" s="497">
        <f t="shared" ca="1" si="161"/>
        <v>46.956521739130437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IFERROR(__xludf.DUMMYFUNCTION("IMPORTRANGE(""https://docs.google.com/spreadsheets/d/1XWAQStnk-4SwqDmLtmXYiTMKHgktTP8We1SCoS47DrQ/edit?usp=sharing"",""จัดที่ดิน!Z39"")"),550.25)</f>
        <v>550.25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IFERROR(__xludf.DUMMYFUNCTION("IMPORTRANGE(""https://docs.google.com/spreadsheets/d/1QqKyyYR6Q21VydFLVH3TRQUabQu_ym0Zz7PgGX0-kHA/edit?usp=sharing"",""แผน!EP39"")"),115)</f>
        <v>115</v>
      </c>
      <c r="J362" s="270">
        <f ca="1">IFERROR(__xludf.DUMMYFUNCTION("IMPORTRANGE(""https://docs.google.com/spreadsheets/d/1XWAQStnk-4SwqDmLtmXYiTMKHgktTP8We1SCoS47DrQ/edit?usp=sharing"",""จัดที่ดิน!AA39"")"),27)</f>
        <v>27</v>
      </c>
      <c r="K362" s="497">
        <f t="shared" ca="1" si="161"/>
        <v>23.478260869565219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IFERROR(__xludf.DUMMYFUNCTION("IMPORTRANGE(""https://docs.google.com/spreadsheets/d/1XWAQStnk-4SwqDmLtmXYiTMKHgktTP8We1SCoS47DrQ/edit?usp=sharing"",""จัดที่ดิน!AB39"")"),345.32)</f>
        <v>345.32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315</v>
      </c>
      <c r="J364" s="478">
        <f t="shared" ca="1" si="162"/>
        <v>209</v>
      </c>
      <c r="K364" s="479">
        <f t="shared" ca="1" si="161"/>
        <v>66.349206349206355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IFERROR(__xludf.DUMMYFUNCTION("IMPORTRANGE(""https://docs.google.com/spreadsheets/d/1QqKyyYR6Q21VydFLVH3TRQUabQu_ym0Zz7PgGX0-kHA/edit?usp=sharing"",""แผน!EJ39"")"),15)</f>
        <v>15</v>
      </c>
      <c r="J365" s="490">
        <f ca="1">J372</f>
        <v>3</v>
      </c>
      <c r="K365" s="491">
        <f t="shared" ca="1" si="161"/>
        <v>20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IFERROR(__xludf.DUMMYFUNCTION("IMPORTRANGE(""https://docs.google.com/spreadsheets/d/1XWAQStnk-4SwqDmLtmXYiTMKHgktTP8We1SCoS47DrQ/edit?usp=sharing"",""จัดที่ดิน!E39"")"),6)</f>
        <v>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IFERROR(__xludf.DUMMYFUNCTION("IMPORTRANGE(""https://docs.google.com/spreadsheets/d/1QqKyyYR6Q21VydFLVH3TRQUabQu_ym0Zz7PgGX0-kHA/edit?usp=sharing"",""แผน!EI39"")"),150)</f>
        <v>150</v>
      </c>
      <c r="J369" s="270">
        <f ca="1">IFERROR(__xludf.DUMMYFUNCTION("IMPORTRANGE(""https://docs.google.com/spreadsheets/d/1XWAQStnk-4SwqDmLtmXYiTMKHgktTP8We1SCoS47DrQ/edit?usp=sharing"",""จัดที่ดิน!F39"")"),8.34)</f>
        <v>8.34</v>
      </c>
      <c r="K369" s="497">
        <f t="shared" ca="1" si="163"/>
        <v>5.56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IFERROR(__xludf.DUMMYFUNCTION("IMPORTRANGE(""https://docs.google.com/spreadsheets/d/1QqKyyYR6Q21VydFLVH3TRQUabQu_ym0Zz7PgGX0-kHA/edit?usp=sharing"",""แผน!EJ39"")"),15)</f>
        <v>15</v>
      </c>
      <c r="J370" s="270">
        <f ca="1">IFERROR(__xludf.DUMMYFUNCTION("IMPORTRANGE(""https://docs.google.com/spreadsheets/d/1XWAQStnk-4SwqDmLtmXYiTMKHgktTP8We1SCoS47DrQ/edit?usp=sharing"",""จัดที่ดิน!G39"")"),6)</f>
        <v>6</v>
      </c>
      <c r="K370" s="497">
        <f t="shared" ca="1" si="163"/>
        <v>40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IFERROR(__xludf.DUMMYFUNCTION("IMPORTRANGE(""https://docs.google.com/spreadsheets/d/1XWAQStnk-4SwqDmLtmXYiTMKHgktTP8We1SCoS47DrQ/edit?usp=sharing"",""จัดที่ดิน!H39"")"),8.34)</f>
        <v>8.34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IFERROR(__xludf.DUMMYFUNCTION("IMPORTRANGE(""https://docs.google.com/spreadsheets/d/1QqKyyYR6Q21VydFLVH3TRQUabQu_ym0Zz7PgGX0-kHA/edit?usp=sharing"",""แผน!EJ39"")"),15)</f>
        <v>15</v>
      </c>
      <c r="J372" s="270">
        <f ca="1">IFERROR(__xludf.DUMMYFUNCTION("IMPORTRANGE(""https://docs.google.com/spreadsheets/d/1XWAQStnk-4SwqDmLtmXYiTMKHgktTP8We1SCoS47DrQ/edit?usp=sharing"",""จัดที่ดิน!I39"")"),3)</f>
        <v>3</v>
      </c>
      <c r="K372" s="497">
        <f t="shared" ca="1" si="163"/>
        <v>20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IFERROR(__xludf.DUMMYFUNCTION("IMPORTRANGE(""https://docs.google.com/spreadsheets/d/1XWAQStnk-4SwqDmLtmXYiTMKHgktTP8We1SCoS47DrQ/edit?usp=sharing"",""จัดที่ดิน!J39"")"),4.71)</f>
        <v>4.71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IFERROR(__xludf.DUMMYFUNCTION("IMPORTRANGE(""https://docs.google.com/spreadsheets/d/1QqKyyYR6Q21VydFLVH3TRQUabQu_ym0Zz7PgGX0-kHA/edit?usp=sharing"",""แผน!EU39"")"),300)</f>
        <v>300</v>
      </c>
      <c r="J374" s="490">
        <f ca="1">J381</f>
        <v>206</v>
      </c>
      <c r="K374" s="491">
        <f t="shared" ca="1" si="163"/>
        <v>68.666666666666671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IFERROR(__xludf.DUMMYFUNCTION("IMPORTRANGE(""https://docs.google.com/spreadsheets/d/1XWAQStnk-4SwqDmLtmXYiTMKHgktTP8We1SCoS47DrQ/edit?usp=sharing"",""จัดที่ดิน!AH39"")"),48)</f>
        <v>48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IFERROR(__xludf.DUMMYFUNCTION("IMPORTRANGE(""https://docs.google.com/spreadsheets/d/1QqKyyYR6Q21VydFLVH3TRQUabQu_ym0Zz7PgGX0-kHA/edit?usp=sharing"",""แผน!ET39"")"),1000)</f>
        <v>1000</v>
      </c>
      <c r="J378" s="270">
        <f ca="1">IFERROR(__xludf.DUMMYFUNCTION("IMPORTRANGE(""https://docs.google.com/spreadsheets/d/1XWAQStnk-4SwqDmLtmXYiTMKHgktTP8We1SCoS47DrQ/edit?usp=sharing"",""จัดที่ดิน!AI39"")"),541.91)</f>
        <v>541.91</v>
      </c>
      <c r="K378" s="497">
        <f t="shared" ca="1" si="164"/>
        <v>54.191000000000003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IFERROR(__xludf.DUMMYFUNCTION("IMPORTRANGE(""https://docs.google.com/spreadsheets/d/1QqKyyYR6Q21VydFLVH3TRQUabQu_ym0Zz7PgGX0-kHA/edit?usp=sharing"",""แผน!EU39"")"),300)</f>
        <v>300</v>
      </c>
      <c r="J379" s="270">
        <f ca="1">IFERROR(__xludf.DUMMYFUNCTION("IMPORTRANGE(""https://docs.google.com/spreadsheets/d/1XWAQStnk-4SwqDmLtmXYiTMKHgktTP8We1SCoS47DrQ/edit?usp=sharing"",""จัดที่ดิน!AJ39"")"),268)</f>
        <v>268</v>
      </c>
      <c r="K379" s="497">
        <f t="shared" ca="1" si="164"/>
        <v>89.333333333333329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IFERROR(__xludf.DUMMYFUNCTION("IMPORTRANGE(""https://docs.google.com/spreadsheets/d/1XWAQStnk-4SwqDmLtmXYiTMKHgktTP8We1SCoS47DrQ/edit?usp=sharing"",""จัดที่ดิน!AK39"")"),2909.54)</f>
        <v>2909.54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IFERROR(__xludf.DUMMYFUNCTION("IMPORTRANGE(""https://docs.google.com/spreadsheets/d/1QqKyyYR6Q21VydFLVH3TRQUabQu_ym0Zz7PgGX0-kHA/edit?usp=sharing"",""แผน!EU39"")"),300)</f>
        <v>300</v>
      </c>
      <c r="J381" s="270">
        <f ca="1">IFERROR(__xludf.DUMMYFUNCTION("IMPORTRANGE(""https://docs.google.com/spreadsheets/d/1XWAQStnk-4SwqDmLtmXYiTMKHgktTP8We1SCoS47DrQ/edit?usp=sharing"",""จัดที่ดิน!AL39"")"),206)</f>
        <v>206</v>
      </c>
      <c r="K381" s="497">
        <f t="shared" ca="1" si="164"/>
        <v>68.666666666666671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IFERROR(__xludf.DUMMYFUNCTION("IMPORTRANGE(""https://docs.google.com/spreadsheets/d/1XWAQStnk-4SwqDmLtmXYiTMKHgktTP8We1SCoS47DrQ/edit?usp=sharing"",""จัดที่ดิน!AM39"")"),2364.18)</f>
        <v>2364.1799999999998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IFERROR(__xludf.DUMMYFUNCTION("IMPORTRANGE(""https://docs.google.com/spreadsheets/d/1QqKyyYR6Q21VydFLVH3TRQUabQu_ym0Zz7PgGX0-kHA/edit?usp=sharing"",""แผน!EW39"")"),20)</f>
        <v>20</v>
      </c>
      <c r="J385" s="504">
        <f ca="1">IFERROR(__xludf.DUMMYFUNCTION("IMPORTRANGE(""https://docs.google.com/spreadsheets/d/1XWAQStnk-4SwqDmLtmXYiTMKHgktTP8We1SCoS47DrQ/edit?usp=sharing"",""จัดที่ดิน!AP39"")"),7)</f>
        <v>7</v>
      </c>
      <c r="K385" s="505">
        <f ca="1">IF(I385&gt;0,J385*100/I385,0)</f>
        <v>35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IFERROR(__xludf.DUMMYFUNCTION("IMPORTRANGE(""https://docs.google.com/spreadsheets/d/1MeEWN-I1oV_STSDYn1IFDPWt_1FKiwhDph83XaGc0o0/edit?usp=sharing"",""งบพรบ!FG39"")"),0)</f>
        <v>0</v>
      </c>
      <c r="M394" s="93">
        <f ca="1">IFERROR(__xludf.DUMMYFUNCTION("IMPORTRANGE(""https://docs.google.com/spreadsheets/d/1MeEWN-I1oV_STSDYn1IFDPWt_1FKiwhDph83XaGc0o0/edit?usp=sharing"",""งบพรบ!FL39"")"),0)</f>
        <v>0</v>
      </c>
      <c r="N394" s="93">
        <f ca="1">IFERROR(__xludf.DUMMYFUNCTION("IMPORTRANGE(""https://docs.google.com/spreadsheets/d/1MeEWN-I1oV_STSDYn1IFDPWt_1FKiwhDph83XaGc0o0/edit?usp=sharing"",""งบพรบ!FN39"")"),0)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IFERROR(__xludf.DUMMYFUNCTION("IMPORTRANGE(""https://docs.google.com/spreadsheets/d/1MeEWN-I1oV_STSDYn1IFDPWt_1FKiwhDph83XaGc0o0/edit?usp=sharing"",""งบพรบ!FJ39"")"),0)</f>
        <v>0</v>
      </c>
      <c r="M397" s="93">
        <f ca="1">IFERROR(__xludf.DUMMYFUNCTION("IMPORTRANGE(""https://docs.google.com/spreadsheets/d/1MeEWN-I1oV_STSDYn1IFDPWt_1FKiwhDph83XaGc0o0/edit?usp=sharing"",""งบพรบ!FM39"")"),0)</f>
        <v>0</v>
      </c>
      <c r="N397" s="93">
        <f ca="1">IFERROR(__xludf.DUMMYFUNCTION("IMPORTRANGE(""https://docs.google.com/spreadsheets/d/1MeEWN-I1oV_STSDYn1IFDPWt_1FKiwhDph83XaGc0o0/edit?usp=sharing"",""งบพรบ!FO39"")"),0)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IFERROR(__xludf.DUMMYFUNCTION("IMPORTRANGE(""https://docs.google.com/spreadsheets/d/1MeEWN-I1oV_STSDYn1IFDPWt_1FKiwhDph83XaGc0o0/edit?usp=sharing"",""งบพรบ!FQ39"")"),0)</f>
        <v>0</v>
      </c>
      <c r="M407" s="93">
        <f ca="1">IFERROR(__xludf.DUMMYFUNCTION("IMPORTRANGE(""https://docs.google.com/spreadsheets/d/1MeEWN-I1oV_STSDYn1IFDPWt_1FKiwhDph83XaGc0o0/edit?usp=sharing"",""งบพรบ!FV39"")"),0)</f>
        <v>0</v>
      </c>
      <c r="N407" s="93">
        <f ca="1">IFERROR(__xludf.DUMMYFUNCTION("IMPORTRANGE(""https://docs.google.com/spreadsheets/d/1MeEWN-I1oV_STSDYn1IFDPWt_1FKiwhDph83XaGc0o0/edit?usp=sharing"",""งบพรบ!FX39"")"),0)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IFERROR(__xludf.DUMMYFUNCTION("IMPORTRANGE(""https://docs.google.com/spreadsheets/d/1MeEWN-I1oV_STSDYn1IFDPWt_1FKiwhDph83XaGc0o0/edit?usp=sharing"",""งบพรบ!FT39"")"),0)</f>
        <v>0</v>
      </c>
      <c r="M410" s="93">
        <f ca="1">IFERROR(__xludf.DUMMYFUNCTION("IMPORTRANGE(""https://docs.google.com/spreadsheets/d/1MeEWN-I1oV_STSDYn1IFDPWt_1FKiwhDph83XaGc0o0/edit?usp=sharing"",""งบพรบ!FW39"")"),0)</f>
        <v>0</v>
      </c>
      <c r="N410" s="93">
        <f ca="1">IFERROR(__xludf.DUMMYFUNCTION("IMPORTRANGE(""https://docs.google.com/spreadsheets/d/1MeEWN-I1oV_STSDYn1IFDPWt_1FKiwhDph83XaGc0o0/edit?usp=sharing"",""งบพรบ!FY39"")"),0)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2432730</v>
      </c>
      <c r="M414" s="552">
        <f t="shared" ca="1" si="181"/>
        <v>2431052</v>
      </c>
      <c r="N414" s="552">
        <f t="shared" si="181"/>
        <v>690584.4</v>
      </c>
      <c r="O414" s="552">
        <f ca="1">IF(L414&gt;0,N414*100/L414,0)</f>
        <v>28.387219296839355</v>
      </c>
      <c r="P414" s="552">
        <f ca="1">IF(M414&gt;0,N414*100/M414,0)</f>
        <v>28.406813182112106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98560</v>
      </c>
      <c r="M419" s="155">
        <f t="shared" ca="1" si="184"/>
        <v>98560</v>
      </c>
      <c r="N419" s="155">
        <f t="shared" si="184"/>
        <v>85890</v>
      </c>
      <c r="O419" s="155">
        <f t="shared" ref="O419:O424" ca="1" si="185">IF(L419&gt;0,N419*100/L419,0)</f>
        <v>87.14488636363636</v>
      </c>
      <c r="P419" s="155">
        <f t="shared" ref="P419:P424" ca="1" si="186">IF(M419&gt;0,N419*100/M419,0)</f>
        <v>87.14488636363636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98560</v>
      </c>
      <c r="M421" s="93">
        <f t="shared" ca="1" si="187"/>
        <v>98560</v>
      </c>
      <c r="N421" s="93">
        <f t="shared" si="187"/>
        <v>85890</v>
      </c>
      <c r="O421" s="93">
        <f t="shared" ca="1" si="185"/>
        <v>87.14488636363636</v>
      </c>
      <c r="P421" s="93">
        <f t="shared" ca="1" si="186"/>
        <v>87.14488636363636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98560</v>
      </c>
      <c r="M422" s="497">
        <f t="shared" ca="1" si="188"/>
        <v>98560</v>
      </c>
      <c r="N422" s="497">
        <f t="shared" si="188"/>
        <v>85890</v>
      </c>
      <c r="O422" s="497">
        <f t="shared" ca="1" si="185"/>
        <v>87.14488636363636</v>
      </c>
      <c r="P422" s="497">
        <f t="shared" ca="1" si="186"/>
        <v>87.14488636363636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IFERROR(__xludf.DUMMYFUNCTION("IMPORTRANGE(""https://docs.google.com/spreadsheets/d/1QqKyyYR6Q21VydFLVH3TRQUabQu_ym0Zz7PgGX0-kHA/edit?usp=sharing"",""แผน!EY39"")"),98560)</f>
        <v>98560</v>
      </c>
      <c r="M424" s="93">
        <f ca="1">L424</f>
        <v>98560</v>
      </c>
      <c r="N424" s="93">
        <f>N425+N426+N427+N428</f>
        <v>85890</v>
      </c>
      <c r="O424" s="93">
        <f t="shared" ca="1" si="185"/>
        <v>87.14488636363636</v>
      </c>
      <c r="P424" s="93">
        <f t="shared" ca="1" si="186"/>
        <v>87.14488636363636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70556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15334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80</v>
      </c>
      <c r="K442" s="589">
        <f t="shared" ca="1" si="194"/>
        <v>80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240</v>
      </c>
      <c r="J443" s="568">
        <f t="shared" si="196"/>
        <v>200</v>
      </c>
      <c r="K443" s="569">
        <f t="shared" ca="1" si="194"/>
        <v>83.333333333333329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614288</v>
      </c>
      <c r="M444" s="195">
        <f t="shared" ca="1" si="197"/>
        <v>612610</v>
      </c>
      <c r="N444" s="195">
        <f t="shared" si="197"/>
        <v>176180</v>
      </c>
      <c r="O444" s="195">
        <f t="shared" ref="O444:O449" ca="1" si="198">IF(L444&gt;0,N444*100/L444,0)</f>
        <v>28.680358398666424</v>
      </c>
      <c r="P444" s="195">
        <f t="shared" ref="P444:P449" ca="1" si="199">IF(M444&gt;0,N444*100/M444,0)</f>
        <v>28.758916765968561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614288</v>
      </c>
      <c r="M446" s="93">
        <f t="shared" ca="1" si="200"/>
        <v>612610</v>
      </c>
      <c r="N446" s="93">
        <f t="shared" si="200"/>
        <v>176180</v>
      </c>
      <c r="O446" s="93">
        <f t="shared" ca="1" si="198"/>
        <v>28.680358398666424</v>
      </c>
      <c r="P446" s="93">
        <f t="shared" ca="1" si="199"/>
        <v>28.758916765968561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614288</v>
      </c>
      <c r="M447" s="497">
        <f t="shared" ca="1" si="201"/>
        <v>612610</v>
      </c>
      <c r="N447" s="497">
        <f t="shared" si="201"/>
        <v>176180</v>
      </c>
      <c r="O447" s="497">
        <f t="shared" ca="1" si="198"/>
        <v>28.680358398666424</v>
      </c>
      <c r="P447" s="497">
        <f t="shared" ca="1" si="199"/>
        <v>28.758916765968561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IFERROR(__xludf.DUMMYFUNCTION("IMPORTRANGE(""https://docs.google.com/spreadsheets/d/1QqKyyYR6Q21VydFLVH3TRQUabQu_ym0Zz7PgGX0-kHA/edit?usp=sharing"",""แผน!FJ39"")"),614288)</f>
        <v>614288</v>
      </c>
      <c r="M449" s="93">
        <f ca="1">L449-1678</f>
        <v>612610</v>
      </c>
      <c r="N449" s="93">
        <f>N450+N451+N452+N453</f>
        <v>176180</v>
      </c>
      <c r="O449" s="93">
        <f t="shared" ca="1" si="198"/>
        <v>28.680358398666424</v>
      </c>
      <c r="P449" s="93">
        <f t="shared" ca="1" si="199"/>
        <v>28.758916765968561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86180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3500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65000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21500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IFERROR(__xludf.DUMMYFUNCTION("IMPORTRANGE(""https://docs.google.com/spreadsheets/d/1QqKyyYR6Q21VydFLVH3TRQUabQu_ym0Zz7PgGX0-kHA/edit?usp=sharing"",""แผน!FN39"")"),100)</f>
        <v>100</v>
      </c>
      <c r="J460" s="215">
        <v>80</v>
      </c>
      <c r="K460" s="497">
        <f ca="1">IF(I460&gt;0,J460*100/I460,0)</f>
        <v>80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IFERROR(__xludf.DUMMYFUNCTION("IMPORTRANGE(""https://docs.google.com/spreadsheets/d/1QqKyyYR6Q21VydFLVH3TRQUabQu_ym0Zz7PgGX0-kHA/edit?usp=sharing"",""แผน!FO39"")"),240)</f>
        <v>240</v>
      </c>
      <c r="J462" s="215">
        <v>200</v>
      </c>
      <c r="K462" s="497">
        <f t="shared" ref="K462:K466" ca="1" si="205">IF(I462&gt;0,J462*100/I462,0)</f>
        <v>83.333333333333329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IFERROR(__xludf.DUMMYFUNCTION("IMPORTRANGE(""https://docs.google.com/spreadsheets/d/1QqKyyYR6Q21VydFLVH3TRQUabQu_ym0Zz7PgGX0-kHA/edit?usp=sharing"",""แผน!FO39"")"),240)</f>
        <v>240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IFERROR(__xludf.DUMMYFUNCTION("IMPORTRANGE(""https://docs.google.com/spreadsheets/d/1QqKyyYR6Q21VydFLVH3TRQUabQu_ym0Zz7PgGX0-kHA/edit?usp=sharing"",""แผน!FN39"")"),100)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IFERROR(__xludf.DUMMYFUNCTION("IMPORTRANGE(""https://docs.google.com/spreadsheets/d/1QqKyyYR6Q21VydFLVH3TRQUabQu_ym0Zz7PgGX0-kHA/edit?usp=sharing"",""แผน!FX39"")"),131)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IFERROR(__xludf.DUMMYFUNCTION("IMPORTRANGE(""https://docs.google.com/spreadsheets/d/1QqKyyYR6Q21VydFLVH3TRQUabQu_ym0Zz7PgGX0-kHA/edit?usp=sharing"",""แผน!FW39"")"),1300)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1170118</v>
      </c>
      <c r="M467" s="195">
        <f t="shared" ca="1" si="206"/>
        <v>1170118</v>
      </c>
      <c r="N467" s="195">
        <f t="shared" si="206"/>
        <v>169809</v>
      </c>
      <c r="O467" s="195">
        <f t="shared" ref="O467:O472" ca="1" si="207">IF(L467&gt;0,N467*100/L467,0)</f>
        <v>14.512126127450394</v>
      </c>
      <c r="P467" s="195">
        <f t="shared" ref="P467:P472" ca="1" si="208">IF(M467&gt;0,N467*100/M467,0)</f>
        <v>14.512126127450394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1170118</v>
      </c>
      <c r="M469" s="93">
        <f t="shared" ca="1" si="209"/>
        <v>1170118</v>
      </c>
      <c r="N469" s="93">
        <f t="shared" si="209"/>
        <v>169809</v>
      </c>
      <c r="O469" s="93">
        <f t="shared" ca="1" si="207"/>
        <v>14.512126127450394</v>
      </c>
      <c r="P469" s="93">
        <f t="shared" ca="1" si="208"/>
        <v>14.512126127450394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1170118</v>
      </c>
      <c r="M470" s="497">
        <f t="shared" ca="1" si="210"/>
        <v>1170118</v>
      </c>
      <c r="N470" s="497">
        <f t="shared" si="210"/>
        <v>169809</v>
      </c>
      <c r="O470" s="497">
        <f t="shared" ca="1" si="207"/>
        <v>14.512126127450394</v>
      </c>
      <c r="P470" s="497">
        <f t="shared" ca="1" si="208"/>
        <v>14.512126127450394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IFERROR(__xludf.DUMMYFUNCTION("IMPORTRANGE(""https://docs.google.com/spreadsheets/d/1QqKyyYR6Q21VydFLVH3TRQUabQu_ym0Zz7PgGX0-kHA/edit?usp=sharing"",""แผน!FS39"")"),1170118)</f>
        <v>1170118</v>
      </c>
      <c r="M472" s="93">
        <f ca="1">L472</f>
        <v>1170118</v>
      </c>
      <c r="N472" s="93">
        <f>N473+N474+N475+N476</f>
        <v>169809</v>
      </c>
      <c r="O472" s="93">
        <f t="shared" ca="1" si="207"/>
        <v>14.512126127450394</v>
      </c>
      <c r="P472" s="93">
        <f t="shared" ca="1" si="208"/>
        <v>14.512126127450394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96419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7050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65000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IFERROR(__xludf.DUMMYFUNCTION("IMPORTRANGE(""https://docs.google.com/spreadsheets/d/1QqKyyYR6Q21VydFLVH3TRQUabQu_ym0Zz7PgGX0-kHA/edit?usp=sharing"",""แผน!FY39"")"),1170)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256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IFERROR(__xludf.DUMMYFUNCTION("IMPORTRANGE(""https://docs.google.com/spreadsheets/d/1QqKyyYR6Q21VydFLVH3TRQUabQu_ym0Zz7PgGX0-kHA/edit?usp=sharing"",""แผน!FZ39"")"),117)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IFERROR(__xludf.DUMMYFUNCTION("IMPORTRANGE(""https://docs.google.com/spreadsheets/d/1QqKyyYR6Q21VydFLVH3TRQUabQu_ym0Zz7PgGX0-kHA/edit?usp=sharing"",""แผน!GA39"")"),130)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14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IFERROR(__xludf.DUMMYFUNCTION("IMPORTRANGE(""https://docs.google.com/spreadsheets/d/1QqKyyYR6Q21VydFLVH3TRQUabQu_ym0Zz7PgGX0-kHA/edit?usp=sharing"",""แผน!GB39"")"),13)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IFERROR(__xludf.DUMMYFUNCTION("IMPORTRANGE(""https://docs.google.com/spreadsheets/d/1QqKyyYR6Q21VydFLVH3TRQUabQu_ym0Zz7PgGX0-kHA/edit?usp=sharing"",""แผน!FY39"")"),1170)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IFERROR(__xludf.DUMMYFUNCTION("IMPORTRANGE(""https://docs.google.com/spreadsheets/d/1QqKyyYR6Q21VydFLVH3TRQUabQu_ym0Zz7PgGX0-kHA/edit?usp=sharing"",""แผน!GA39"")"),130)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36261</v>
      </c>
      <c r="J543" s="685">
        <f t="shared" si="235"/>
        <v>36260.94</v>
      </c>
      <c r="K543" s="686">
        <f t="shared" ca="1" si="234"/>
        <v>99.999834532969302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372469</v>
      </c>
      <c r="M544" s="155">
        <f t="shared" ca="1" si="236"/>
        <v>372469</v>
      </c>
      <c r="N544" s="155">
        <f t="shared" si="236"/>
        <v>215507.4</v>
      </c>
      <c r="O544" s="155">
        <f t="shared" ref="O544:O549" ca="1" si="237">IF(L544&gt;0,N544*100/L544,0)</f>
        <v>57.859150694420208</v>
      </c>
      <c r="P544" s="155">
        <f t="shared" ref="P544:P549" ca="1" si="238">IF(M544&gt;0,N544*100/M544,0)</f>
        <v>57.859150694420208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372469</v>
      </c>
      <c r="M546" s="93">
        <f t="shared" ca="1" si="240"/>
        <v>372469</v>
      </c>
      <c r="N546" s="93">
        <f t="shared" si="240"/>
        <v>215507.4</v>
      </c>
      <c r="O546" s="93">
        <f t="shared" ca="1" si="237"/>
        <v>57.859150694420208</v>
      </c>
      <c r="P546" s="93">
        <f t="shared" ca="1" si="238"/>
        <v>57.859150694420208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372469</v>
      </c>
      <c r="M547" s="497">
        <f t="shared" ca="1" si="241"/>
        <v>372469</v>
      </c>
      <c r="N547" s="497">
        <f t="shared" si="241"/>
        <v>215507.4</v>
      </c>
      <c r="O547" s="497">
        <f t="shared" ca="1" si="237"/>
        <v>57.859150694420208</v>
      </c>
      <c r="P547" s="497">
        <f t="shared" ca="1" si="238"/>
        <v>57.859150694420208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IFERROR(__xludf.DUMMYFUNCTION("IMPORTRANGE(""https://docs.google.com/spreadsheets/d/1QqKyyYR6Q21VydFLVH3TRQUabQu_ym0Zz7PgGX0-kHA/edit?usp=sharing"",""แผน!HB39"")"),372469)</f>
        <v>372469</v>
      </c>
      <c r="M549" s="93">
        <f ca="1">L549</f>
        <v>372469</v>
      </c>
      <c r="N549" s="93">
        <f>N550+N551+N552+N553+N554</f>
        <v>215507.4</v>
      </c>
      <c r="O549" s="93">
        <f t="shared" ca="1" si="237"/>
        <v>57.859150694420208</v>
      </c>
      <c r="P549" s="93">
        <f t="shared" ca="1" si="238"/>
        <v>57.859150694420208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65000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150507.4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36261</v>
      </c>
      <c r="J559" s="706">
        <f t="shared" si="245"/>
        <v>36260.94</v>
      </c>
      <c r="K559" s="675">
        <f t="shared" ref="K559:K561" ca="1" si="246">IF(I559&gt;0,J559*100/I559,0)</f>
        <v>99.999834532969302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IFERROR(__xludf.DUMMYFUNCTION("IMPORTRANGE(""https://docs.google.com/spreadsheets/d/1QqKyyYR6Q21VydFLVH3TRQUabQu_ym0Zz7PgGX0-kHA/edit?usp=sharing"",""แผน!HH39"")"),36261)</f>
        <v>36261</v>
      </c>
      <c r="J560" s="193">
        <f t="shared" ref="J560:J561" si="247">J562+J564+J566</f>
        <v>36261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IFERROR(__xludf.DUMMYFUNCTION("IMPORTRANGE(""https://docs.google.com/spreadsheets/d/1QqKyyYR6Q21VydFLVH3TRQUabQu_ym0Zz7PgGX0-kHA/edit?usp=sharing"",""แผน!HG39"")"),3669)</f>
        <v>3669</v>
      </c>
      <c r="J561" s="193">
        <f t="shared" si="247"/>
        <v>3669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26600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2755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8322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IFERROR(__xludf.DUMMYFUNCTION("IMPORTRANGE(""https://docs.google.com/spreadsheets/d/1QqKyyYR6Q21VydFLVH3TRQUabQu_ym0Zz7PgGX0-kHA/edit?usp=sharing"",""แผน!HH39"")"),36261)</f>
        <v>36261</v>
      </c>
      <c r="J568" s="679">
        <f t="shared" ref="J568:J569" si="248">J570+J572+J574</f>
        <v>36261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IFERROR(__xludf.DUMMYFUNCTION("IMPORTRANGE(""https://docs.google.com/spreadsheets/d/1QqKyyYR6Q21VydFLVH3TRQUabQu_ym0Zz7PgGX0-kHA/edit?usp=sharing"",""แผน!HG39"")"),3669)</f>
        <v>3669</v>
      </c>
      <c r="J569" s="679">
        <f t="shared" si="248"/>
        <v>3669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30867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3190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3859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342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1535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137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IFERROR(__xludf.DUMMYFUNCTION("IMPORTRANGE(""https://docs.google.com/spreadsheets/d/1QqKyyYR6Q21VydFLVH3TRQUabQu_ym0Zz7PgGX0-kHA/edit?usp=sharing"",""แผน!HH39"")"),36261)</f>
        <v>36261</v>
      </c>
      <c r="J576" s="679">
        <f t="shared" ref="J576:J577" si="250">J578+J580+J582+J588+J590</f>
        <v>36260.94</v>
      </c>
      <c r="K576" s="411">
        <f t="shared" ref="K576:K577" ca="1" si="251">IF(I576&gt;0,J576*100/I576,0)</f>
        <v>99.999834532969302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IFERROR(__xludf.DUMMYFUNCTION("IMPORTRANGE(""https://docs.google.com/spreadsheets/d/1QqKyyYR6Q21VydFLVH3TRQUabQu_ym0Zz7PgGX0-kHA/edit?usp=sharing"",""แผน!HG39"")"),3669)</f>
        <v>3669</v>
      </c>
      <c r="J577" s="679">
        <f t="shared" si="250"/>
        <v>3669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30867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3190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3859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342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1534.94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137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1515.15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19.79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598.48</v>
      </c>
      <c r="J592" s="706">
        <f t="shared" si="253"/>
        <v>191</v>
      </c>
      <c r="K592" s="675">
        <f t="shared" ref="K592:K594" ca="1" si="254">IF(I592&gt;0,J592*100/I592,0)</f>
        <v>31.914182595909637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IFERROR(__xludf.DUMMYFUNCTION("IMPORTRANGE(""https://docs.google.com/spreadsheets/d/1QqKyyYR6Q21VydFLVH3TRQUabQu_ym0Zz7PgGX0-kHA/edit?usp=sharing"",""แผน!HJ39"")"),598.48)</f>
        <v>598.48</v>
      </c>
      <c r="J593" s="193">
        <f t="shared" ref="J593:J594" si="255">J595+J603+J609</f>
        <v>191</v>
      </c>
      <c r="K593" s="411">
        <f t="shared" ca="1" si="254"/>
        <v>31.914182595909637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IFERROR(__xludf.DUMMYFUNCTION("IMPORTRANGE(""https://docs.google.com/spreadsheets/d/1QqKyyYR6Q21VydFLVH3TRQUabQu_ym0Zz7PgGX0-kHA/edit?usp=sharing"",""แผน!HI39"")"),75)</f>
        <v>75</v>
      </c>
      <c r="J594" s="193">
        <f t="shared" si="255"/>
        <v>18</v>
      </c>
      <c r="K594" s="411">
        <f t="shared" ca="1" si="254"/>
        <v>24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146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14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146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14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45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4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45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4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</v>
      </c>
      <c r="J628" s="739">
        <f t="shared" ca="1" si="262"/>
        <v>7</v>
      </c>
      <c r="K628" s="740">
        <f ca="1">IF(I628&gt;0,J628*100/I628,0)</f>
        <v>53.846153846153847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177295</v>
      </c>
      <c r="M629" s="195">
        <f t="shared" ca="1" si="263"/>
        <v>177295</v>
      </c>
      <c r="N629" s="195">
        <f t="shared" si="263"/>
        <v>43198</v>
      </c>
      <c r="O629" s="195">
        <f t="shared" ref="O629:O634" ca="1" si="264">IF(L629&gt;0,N629*100/L629,0)</f>
        <v>24.365041315321921</v>
      </c>
      <c r="P629" s="195">
        <f t="shared" ref="P629:P634" ca="1" si="265">IF(M629&gt;0,N629*100/M629,0)</f>
        <v>24.365041315321921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177295</v>
      </c>
      <c r="M631" s="93">
        <f t="shared" ca="1" si="266"/>
        <v>177295</v>
      </c>
      <c r="N631" s="93">
        <f t="shared" si="266"/>
        <v>43198</v>
      </c>
      <c r="O631" s="93">
        <f t="shared" ca="1" si="264"/>
        <v>24.365041315321921</v>
      </c>
      <c r="P631" s="93">
        <f t="shared" ca="1" si="265"/>
        <v>24.365041315321921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177295</v>
      </c>
      <c r="M632" s="497">
        <f t="shared" ca="1" si="267"/>
        <v>177295</v>
      </c>
      <c r="N632" s="497">
        <f t="shared" si="267"/>
        <v>43198</v>
      </c>
      <c r="O632" s="497">
        <f t="shared" ca="1" si="264"/>
        <v>24.365041315321921</v>
      </c>
      <c r="P632" s="497">
        <f t="shared" ca="1" si="265"/>
        <v>24.365041315321921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IFERROR(__xludf.DUMMYFUNCTION("IMPORTRANGE(""https://docs.google.com/spreadsheets/d/1QqKyyYR6Q21VydFLVH3TRQUabQu_ym0Zz7PgGX0-kHA/edit?usp=sharing"",""แผน!HN39"")"),177295)</f>
        <v>177295</v>
      </c>
      <c r="M634" s="93">
        <f ca="1">L634</f>
        <v>177295</v>
      </c>
      <c r="N634" s="93">
        <f>N635+N636+N637+N638</f>
        <v>43198</v>
      </c>
      <c r="O634" s="93">
        <f t="shared" ca="1" si="264"/>
        <v>24.365041315321921</v>
      </c>
      <c r="P634" s="93">
        <f t="shared" ca="1" si="265"/>
        <v>24.365041315321921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43198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IFERROR(__xludf.DUMMYFUNCTION("IMPORTRANGE(""https://docs.google.com/spreadsheets/d/1XWAQStnk-4SwqDmLtmXYiTMKHgktTP8We1SCoS47DrQ/edit?usp=sharing"",""จัดที่ดิน!AS39"")"),7)</f>
        <v>7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IFERROR(__xludf.DUMMYFUNCTION("IMPORTRANGE(""https://docs.google.com/spreadsheets/d/1XWAQStnk-4SwqDmLtmXYiTMKHgktTP8We1SCoS47DrQ/edit?usp=sharing"",""จัดที่ดิน!AT39"")"),4.85)</f>
        <v>4.8499999999999996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IFERROR(__xludf.DUMMYFUNCTION("IMPORTRANGE(""https://docs.google.com/spreadsheets/d/1QqKyyYR6Q21VydFLVH3TRQUabQu_ym0Zz7PgGX0-kHA/edit?usp=sharing"",""แผน!HS39"")"),13)</f>
        <v>13</v>
      </c>
      <c r="J647" s="270">
        <f ca="1">IFERROR(__xludf.DUMMYFUNCTION("IMPORTRANGE(""https://docs.google.com/spreadsheets/d/1XWAQStnk-4SwqDmLtmXYiTMKHgktTP8We1SCoS47DrQ/edit?usp=sharing"",""จัดที่ดิน!AU39"")"),7)</f>
        <v>7</v>
      </c>
      <c r="K647" s="163">
        <f t="shared" ca="1" si="271"/>
        <v>53.846153846153847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IFERROR(__xludf.DUMMYFUNCTION("IMPORTRANGE(""https://docs.google.com/spreadsheets/d/1XWAQStnk-4SwqDmLtmXYiTMKHgktTP8We1SCoS47DrQ/edit?usp=sharing"",""จัดที่ดิน!AV39"")"),4.85)</f>
        <v>4.8499999999999996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IFERROR(__xludf.DUMMYFUNCTION("IMPORTRANGE(""https://docs.google.com/spreadsheets/d/1QqKyyYR6Q21VydFLVH3TRQUabQu_ym0Zz7PgGX0-kHA/edit?usp=sharing"",""แผน!HS39"")"),13)</f>
        <v>13</v>
      </c>
      <c r="J649" s="270">
        <f ca="1">IFERROR(__xludf.DUMMYFUNCTION("IMPORTRANGE(""https://docs.google.com/spreadsheets/d/1XWAQStnk-4SwqDmLtmXYiTMKHgktTP8We1SCoS47DrQ/edit?usp=sharing"",""จัดที่ดิน!AW39"")"),7)</f>
        <v>7</v>
      </c>
      <c r="K649" s="163">
        <f t="shared" ca="1" si="271"/>
        <v>53.846153846153847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IFERROR(__xludf.DUMMYFUNCTION("IMPORTRANGE(""https://docs.google.com/spreadsheets/d/1XWAQStnk-4SwqDmLtmXYiTMKHgktTP8We1SCoS47DrQ/edit?usp=sharing"",""จัดที่ดิน!AX39"")"),4.85)</f>
        <v>4.8499999999999996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IFERROR(__xludf.DUMMYFUNCTION("IMPORTRANGE(""https://docs.google.com/spreadsheets/d/1QqKyyYR6Q21VydFLVH3TRQUabQu_ym0Zz7PgGX0-kHA/edit?usp=sharing"",""แผน!HS39"")"),13)</f>
        <v>13</v>
      </c>
      <c r="J651" s="270">
        <f ca="1">IFERROR(__xludf.DUMMYFUNCTION("IMPORTRANGE(""https://docs.google.com/spreadsheets/d/1XWAQStnk-4SwqDmLtmXYiTMKHgktTP8We1SCoS47DrQ/edit?usp=sharing"",""จัดที่ดิน!AY39"")"),7)</f>
        <v>7</v>
      </c>
      <c r="K651" s="163">
        <f t="shared" ca="1" si="271"/>
        <v>53.846153846153847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IFERROR(__xludf.DUMMYFUNCTION("IMPORTRANGE(""https://docs.google.com/spreadsheets/d/1XWAQStnk-4SwqDmLtmXYiTMKHgktTP8We1SCoS47DrQ/edit?usp=sharing"",""จัดที่ดิน!AZ39"")"),4.85)</f>
        <v>4.8499999999999996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IFERROR(__xludf.DUMMYFUNCTION("IMPORTRANGE(""https://docs.google.com/spreadsheets/d/1QqKyyYR6Q21VydFLVH3TRQUabQu_ym0Zz7PgGX0-kHA/edit?usp=sharing"",""แผน!IA39"")"),0)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IFERROR(__xludf.DUMMYFUNCTION("IMPORTRANGE(""https://docs.google.com/spreadsheets/d/1QqKyyYR6Q21VydFLVH3TRQUabQu_ym0Zz7PgGX0-kHA/edit?usp=sharing"",""แผน!HZ39"")"),0)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IFERROR(__xludf.DUMMYFUNCTION("IMPORTRANGE(""https://docs.google.com/spreadsheets/d/1QqKyyYR6Q21VydFLVH3TRQUabQu_ym0Zz7PgGX0-kHA/edit?usp=sharing"",""แผน!HZ39"")"),0)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IFERROR(__xludf.DUMMYFUNCTION("IMPORTRANGE(""https://docs.google.com/spreadsheets/d/1QqKyyYR6Q21VydFLVH3TRQUabQu_ym0Zz7PgGX0-kHA/edit?usp=sharing"",""แผน!IC39"")"),0)</f>
        <v>0</v>
      </c>
      <c r="J699" s="270">
        <f ca="1">IFERROR(__xludf.DUMMYFUNCTION("IMPORTRANGE(""https://docs.google.com/spreadsheets/d/1XWAQStnk-4SwqDmLtmXYiTMKHgktTP8We1SCoS47DrQ/edit?usp=sharing"",""จัดที่ดิน!BB39"")"),0)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IFERROR(__xludf.DUMMYFUNCTION("IMPORTRANGE(""https://docs.google.com/spreadsheets/d/1QqKyyYR6Q21VydFLVH3TRQUabQu_ym0Zz7PgGX0-kHA/edit?usp=sharing"",""แผน!ID39"")"),0)</f>
        <v>0</v>
      </c>
      <c r="J700" s="270">
        <f ca="1">IFERROR(__xludf.DUMMYFUNCTION("IMPORTRANGE(""https://docs.google.com/spreadsheets/d/1XWAQStnk-4SwqDmLtmXYiTMKHgktTP8We1SCoS47DrQ/edit?usp=sharing"",""จัดที่ดิน!BD39"")"),0)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IFERROR(__xludf.DUMMYFUNCTION("IMPORTRANGE(""https://docs.google.com/spreadsheets/d/1QqKyyYR6Q21VydFLVH3TRQUabQu_ym0Zz7PgGX0-kHA/edit?usp=sharing"",""แผน!IH39"")"),0)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IFERROR(__xludf.DUMMYFUNCTION("IMPORTRANGE(""https://docs.google.com/spreadsheets/d/1QqKyyYR6Q21VydFLVH3TRQUabQu_ym0Zz7PgGX0-kHA/edit?usp=sharing"",""แผน!II39"")"),0)</f>
        <v>0</v>
      </c>
      <c r="J720" s="270">
        <f ca="1">IFERROR(__xludf.DUMMYFUNCTION("IMPORTRANGE(""https://docs.google.com/spreadsheets/d/1XWAQStnk-4SwqDmLtmXYiTMKHgktTP8We1SCoS47DrQ/edit?usp=sharing"",""จัดที่ดิน!BH39"")"),0)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IFERROR(__xludf.DUMMYFUNCTION("IMPORTRANGE(""https://docs.google.com/spreadsheets/d/1QqKyyYR6Q21VydFLVH3TRQUabQu_ym0Zz7PgGX0-kHA/edit?usp=sharing"",""แผน!IL39"")"),0)</f>
        <v>0</v>
      </c>
      <c r="J723" s="270">
        <f ca="1">IFERROR(__xludf.DUMMYFUNCTION("IMPORTRANGE(""https://docs.google.com/spreadsheets/d/1XWAQStnk-4SwqDmLtmXYiTMKHgktTP8We1SCoS47DrQ/edit?usp=sharing"",""จัดที่ดิน!BM39"")"),0)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IFERROR(__xludf.DUMMYFUNCTION("IMPORTRANGE(""https://docs.google.com/spreadsheets/d/1QqKyyYR6Q21VydFLVH3TRQUabQu_ym0Zz7PgGX0-kHA/edit?usp=sharing"",""แผน!IM39"")"),0)</f>
        <v>0</v>
      </c>
      <c r="J725" s="270">
        <f ca="1">IFERROR(__xludf.DUMMYFUNCTION("IMPORTRANGE(""https://docs.google.com/spreadsheets/d/1XWAQStnk-4SwqDmLtmXYiTMKHgktTP8We1SCoS47DrQ/edit?usp=sharing"",""จัดที่ดิน!BO39"")"),0)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IFERROR(__xludf.DUMMYFUNCTION("IMPORTRANGE(""https://docs.google.com/spreadsheets/d/1QqKyyYR6Q21VydFLVH3TRQUabQu_ym0Zz7PgGX0-kHA/edit?usp=sharing"",""แผน!IN39"")"),0)</f>
        <v>0</v>
      </c>
      <c r="J726" s="270">
        <f ca="1">IFERROR(__xludf.DUMMYFUNCTION("IMPORTRANGE(""https://docs.google.com/spreadsheets/d/1XWAQStnk-4SwqDmLtmXYiTMKHgktTP8We1SCoS47DrQ/edit?usp=sharing"",""จัดที่ดิน!BR39"")"),0)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IFERROR(__xludf.DUMMYFUNCTION("IMPORTRANGE(""https://docs.google.com/spreadsheets/d/1QqKyyYR6Q21VydFLVH3TRQUabQu_ym0Zz7PgGX0-kHA/edit?usp=sharing"",""แผน!IO39"")"),0)</f>
        <v>0</v>
      </c>
      <c r="J728" s="270">
        <f ca="1">IFERROR(__xludf.DUMMYFUNCTION("IMPORTRANGE(""https://docs.google.com/spreadsheets/d/1XWAQStnk-4SwqDmLtmXYiTMKHgktTP8We1SCoS47DrQ/edit?usp=sharing"",""จัดที่ดิน!BT39"")"),0)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IFERROR(__xludf.DUMMYFUNCTION("IMPORTRANGE(""https://docs.google.com/spreadsheets/d/1QqKyyYR6Q21VydFLVH3TRQUabQu_ym0Zz7PgGX0-kHA/edit?usp=sharing"",""แผน!JN39"")"),0)</f>
        <v>0</v>
      </c>
      <c r="J800" s="184">
        <f ca="1">IFERROR(__xludf.DUMMYFUNCTION("IMPORTRANGE(""https://docs.google.com/spreadsheets/d/1MaWodYyGHDf7siQLGxnXhG4mBNTNIuy296niS2xXulU/edit?usp=sharing"",""RTK!H39"")"),0)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270">
        <f ca="1">IFERROR(__xludf.DUMMYFUNCTION("IMPORTRANGE(""https://docs.google.com/spreadsheets/d/19vJNZY_5yjcGF2XGBMNZRCAIB0Kwfpjp8YEOfu-bneM/edit?usp=sharing"",""งานกองทุน!F39"")"),5675355.27)</f>
        <v>5675355.2699999996</v>
      </c>
      <c r="K821" s="497">
        <f t="shared" ref="K821:K828" ca="1" si="335">IF(I821&gt;0,J821*100/I821,0)</f>
        <v>37.793678152605416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IFERROR(__xludf.DUMMYFUNCTION("IMPORTRANGE(""https://docs.google.com/spreadsheets/d/19vJNZY_5yjcGF2XGBMNZRCAIB0Kwfpjp8YEOfu-bneM/edit?usp=sharing"",""งานกองทุน!C39"")"),1508)</f>
        <v>1508</v>
      </c>
      <c r="J822" s="270">
        <f ca="1">IFERROR(__xludf.DUMMYFUNCTION("IMPORTRANGE(""https://docs.google.com/spreadsheets/d/19vJNZY_5yjcGF2XGBMNZRCAIB0Kwfpjp8YEOfu-bneM/edit?usp=sharing"",""งานกองทุน!E39"")"),506)</f>
        <v>506</v>
      </c>
      <c r="K822" s="497">
        <f t="shared" ca="1" si="335"/>
        <v>33.554376657824932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270">
        <f ca="1">IFERROR(__xludf.DUMMYFUNCTION("IMPORTRANGE(""https://docs.google.com/spreadsheets/d/19vJNZY_5yjcGF2XGBMNZRCAIB0Kwfpjp8YEOfu-bneM/edit?usp=sharing"",""งานกองทุน!K39"")"),1483447.45)</f>
        <v>1483447.45</v>
      </c>
      <c r="K823" s="497">
        <f t="shared" ca="1" si="335"/>
        <v>18.672059946063943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IFERROR(__xludf.DUMMYFUNCTION("IMPORTRANGE(""https://docs.google.com/spreadsheets/d/19vJNZY_5yjcGF2XGBMNZRCAIB0Kwfpjp8YEOfu-bneM/edit?usp=sharing"",""งานกองทุน!H39"")"),355)</f>
        <v>355</v>
      </c>
      <c r="J824" s="270">
        <f ca="1">IFERROR(__xludf.DUMMYFUNCTION("IMPORTRANGE(""https://docs.google.com/spreadsheets/d/19vJNZY_5yjcGF2XGBMNZRCAIB0Kwfpjp8YEOfu-bneM/edit?usp=sharing"",""งานกองทุน!J39"")"),138)</f>
        <v>138</v>
      </c>
      <c r="K824" s="497">
        <f t="shared" ca="1" si="335"/>
        <v>38.87323943661972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IFERROR(__xludf.DUMMYFUNCTION("IMPORTRANGE(""https://docs.google.com/spreadsheets/d/19vJNZY_5yjcGF2XGBMNZRCAIB0Kwfpjp8YEOfu-bneM/edit?usp=sharing"",""งานกองทุน!N39"")"),0)</f>
        <v>0</v>
      </c>
      <c r="J825" s="270">
        <f ca="1">IFERROR(__xludf.DUMMYFUNCTION("IMPORTRANGE(""https://docs.google.com/spreadsheets/d/19vJNZY_5yjcGF2XGBMNZRCAIB0Kwfpjp8YEOfu-bneM/edit?usp=sharing"",""งานกองทุน!P39"")"),0)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IFERROR(__xludf.DUMMYFUNCTION("IMPORTRANGE(""https://docs.google.com/spreadsheets/d/19vJNZY_5yjcGF2XGBMNZRCAIB0Kwfpjp8YEOfu-bneM/edit?usp=sharing"",""งานกองทุน!M39"")"),0)</f>
        <v>0</v>
      </c>
      <c r="J826" s="270">
        <f ca="1">IFERROR(__xludf.DUMMYFUNCTION("IMPORTRANGE(""https://docs.google.com/spreadsheets/d/19vJNZY_5yjcGF2XGBMNZRCAIB0Kwfpjp8YEOfu-bneM/edit?usp=sharing"",""งานกองทุน!O39"")"),0)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IFERROR(__xludf.DUMMYFUNCTION("IMPORTRANGE(""https://docs.google.com/spreadsheets/d/19vJNZY_5yjcGF2XGBMNZRCAIB0Kwfpjp8YEOfu-bneM/edit?usp=sharing"",""งานกองทุน!S39"")"),15000000)</f>
        <v>15000000</v>
      </c>
      <c r="J827" s="270">
        <f ca="1">IFERROR(__xludf.DUMMYFUNCTION("IMPORTRANGE(""https://docs.google.com/spreadsheets/d/19vJNZY_5yjcGF2XGBMNZRCAIB0Kwfpjp8YEOfu-bneM/edit?usp=sharing"",""งานกองทุน!U39"")"),2880000)</f>
        <v>2880000</v>
      </c>
      <c r="K827" s="497">
        <f t="shared" ca="1" si="335"/>
        <v>19.2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IFERROR(__xludf.DUMMYFUNCTION("IMPORTRANGE(""https://docs.google.com/spreadsheets/d/19vJNZY_5yjcGF2XGBMNZRCAIB0Kwfpjp8YEOfu-bneM/edit?usp=sharing"",""งานกองทุน!R39"")"),410)</f>
        <v>410</v>
      </c>
      <c r="J828" s="504">
        <f ca="1">IFERROR(__xludf.DUMMYFUNCTION("IMPORTRANGE(""https://docs.google.com/spreadsheets/d/19vJNZY_5yjcGF2XGBMNZRCAIB0Kwfpjp8YEOfu-bneM/edit?usp=sharing"",""งานกองทุน!T39"")"),84)</f>
        <v>84</v>
      </c>
      <c r="K828" s="505">
        <f t="shared" ca="1" si="335"/>
        <v>20.487804878048781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เลย!Print_Area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2023-05-15T02:39:44Z</cp:lastPrinted>
  <dcterms:modified xsi:type="dcterms:W3CDTF">2023-05-15T02:52:24Z</dcterms:modified>
</cp:coreProperties>
</file>